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1">'2'!$A$1:$Q$26</definedName>
    <definedName name="_xlnm.Print_Area" localSheetId="2">'3'!$A$1:$X$28</definedName>
    <definedName name="_xlnm.Print_Area" localSheetId="3">'4'!$A$1:$AH$22</definedName>
    <definedName name="_xlnm.Print_Area" localSheetId="4">'5'!$A$1:$T$28</definedName>
    <definedName name="_xlnm.Print_Area" localSheetId="5">'6'!$A$1:$P$14</definedName>
    <definedName name="_xlnm.Print_Area" localSheetId="6">'7'!$A$1:$P$14</definedName>
  </definedNames>
  <calcPr fullCalcOnLoad="1"/>
</workbook>
</file>

<file path=xl/sharedStrings.xml><?xml version="1.0" encoding="utf-8"?>
<sst xmlns="http://schemas.openxmlformats.org/spreadsheetml/2006/main" count="265" uniqueCount="122">
  <si>
    <t>№</t>
  </si>
  <si>
    <t>1-жадвал</t>
  </si>
  <si>
    <t>3-жадвал</t>
  </si>
  <si>
    <t>Жами мурожаатлар сони</t>
  </si>
  <si>
    <t>Шу жумладан</t>
  </si>
  <si>
    <t xml:space="preserve">         Жами</t>
  </si>
  <si>
    <t>Мурожаат этувчилар тоифаси</t>
  </si>
  <si>
    <t xml:space="preserve">Юридик шахслар </t>
  </si>
  <si>
    <t>Мурожаатларда кўтарилан масалалар</t>
  </si>
  <si>
    <t>Ёзма мурожаатлар</t>
  </si>
  <si>
    <t>Жами</t>
  </si>
  <si>
    <t>Оғзаки мурожаатлар</t>
  </si>
  <si>
    <t>Жами мурожаатлар</t>
  </si>
  <si>
    <t xml:space="preserve">Жами </t>
  </si>
  <si>
    <t>2-жадвал</t>
  </si>
  <si>
    <t>Ёзма мурожа-атлар</t>
  </si>
  <si>
    <t>рад этилди</t>
  </si>
  <si>
    <t>5-жадвал</t>
  </si>
  <si>
    <t>Вазир ва ўринбосарлари</t>
  </si>
  <si>
    <t>Вилоятлар</t>
  </si>
  <si>
    <t>Қорақалпоғистон Республикаси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</si>
  <si>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</si>
  <si>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</si>
  <si>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</si>
  <si>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</si>
  <si>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</si>
  <si>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</si>
  <si>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</si>
  <si>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Сирдарё</t>
  </si>
  <si>
    <t>Сурхондарё</t>
  </si>
  <si>
    <t>Тошкент в.</t>
  </si>
  <si>
    <t>Фарғона</t>
  </si>
  <si>
    <t>Хоразм</t>
  </si>
  <si>
    <t>Тошкент ш.</t>
  </si>
  <si>
    <t xml:space="preserve">Бошқа ҳудуддан </t>
  </si>
  <si>
    <t>Жисмоний шахслар</t>
  </si>
  <si>
    <t>Вазирлар Маҳкамаси-дан келган</t>
  </si>
  <si>
    <t>тушунтирилди</t>
  </si>
  <si>
    <t>Жумладан</t>
  </si>
  <si>
    <t>кўриб чиқилмоқда</t>
  </si>
  <si>
    <t>Мурожаатлар шакллари</t>
  </si>
  <si>
    <r>
      <t xml:space="preserve">Оғзаки мурожаатлар </t>
    </r>
    <r>
      <rPr>
        <i/>
        <sz val="20"/>
        <rFont val="Times New Roman"/>
        <family val="1"/>
      </rPr>
      <t xml:space="preserve">(шахсий қабул, сайёр қабул, масъул ходимлар қабули ва ишонч телефон) </t>
    </r>
  </si>
  <si>
    <t>Қаноатлан-тирилган</t>
  </si>
  <si>
    <t>Тушун-тириш берилган</t>
  </si>
  <si>
    <t>Тегишли-лиги бўйича юборилган</t>
  </si>
  <si>
    <t>Рад этилган</t>
  </si>
  <si>
    <t>Кўрмасдан қолди-рилган ёки аноним деб топилган</t>
  </si>
  <si>
    <t>Кўриб чиқил-моқда</t>
  </si>
  <si>
    <t xml:space="preserve">   Халқ қабулхоналари ва Виртуал қабулхонаси орқали тушган мурожаатлар тўғрисида маълумот</t>
  </si>
  <si>
    <t xml:space="preserve">сайёр қабули </t>
  </si>
  <si>
    <t xml:space="preserve">  шахсий қабули    </t>
  </si>
  <si>
    <t>масъул ходим-ларнинг қабули</t>
  </si>
  <si>
    <t>вазирлик аппаратида   кўрилган</t>
  </si>
  <si>
    <t>ҳудудий идораларга юборилган</t>
  </si>
  <si>
    <t>тегишли идоралар ва ҳокимиятларга юборилган</t>
  </si>
  <si>
    <t>4-жадвал</t>
  </si>
  <si>
    <t xml:space="preserve">Жами мурожаат-лар  </t>
  </si>
  <si>
    <t>Бошқа ҳудуддан</t>
  </si>
  <si>
    <t xml:space="preserve">           Жами</t>
  </si>
  <si>
    <t xml:space="preserve"> Ўтказилган сайёр қабул сони</t>
  </si>
  <si>
    <t>Раҳбарларнинг</t>
  </si>
  <si>
    <t>такрорийлар</t>
  </si>
  <si>
    <t>муддати бузилганлар</t>
  </si>
  <si>
    <t>Халқ қабулхоналари орқали келиб тушган мурожаатлар</t>
  </si>
  <si>
    <t>Виртуал қабулхонаси орқали келиб тушган мурожаатлар</t>
  </si>
  <si>
    <t>чоралар кўрилди</t>
  </si>
  <si>
    <t>Мурожаатларда кўтарилган масалалар</t>
  </si>
  <si>
    <t>Назоратга олинганлар</t>
  </si>
  <si>
    <t>Муддати бузил-ган</t>
  </si>
  <si>
    <t>ишонч телефони</t>
  </si>
  <si>
    <r>
      <t xml:space="preserve">Электрон мурожаатлар              </t>
    </r>
    <r>
      <rPr>
        <i/>
        <sz val="18"/>
        <rFont val="Times New Roman"/>
        <family val="1"/>
      </rPr>
      <t xml:space="preserve">   </t>
    </r>
  </si>
  <si>
    <r>
      <t xml:space="preserve">Электрон мурожаатлар               </t>
    </r>
    <r>
      <rPr>
        <b/>
        <sz val="18"/>
        <rFont val="Times New Roman"/>
        <family val="1"/>
      </rPr>
      <t xml:space="preserve"> </t>
    </r>
  </si>
  <si>
    <r>
      <t xml:space="preserve"> Электрон мурожа-атлар </t>
    </r>
    <r>
      <rPr>
        <i/>
        <sz val="16"/>
        <rFont val="Times New Roman"/>
        <family val="1"/>
      </rPr>
      <t xml:space="preserve"> </t>
    </r>
  </si>
  <si>
    <t>6-жадвал</t>
  </si>
  <si>
    <t>Жавобгарлик турлари</t>
  </si>
  <si>
    <t>Интизомий жавобгарлик</t>
  </si>
  <si>
    <t>Маъмурий жавобгарлик</t>
  </si>
  <si>
    <t xml:space="preserve">Жиноий жавобгарлик </t>
  </si>
  <si>
    <t>Жарима</t>
  </si>
  <si>
    <t>Хайфсан</t>
  </si>
  <si>
    <t>Лавозимидан озод этиш</t>
  </si>
  <si>
    <t>7-жадвал</t>
  </si>
  <si>
    <t>мурожаатларнинг турлари бўйича таққослама таҳлили тўғрисида маълумот</t>
  </si>
  <si>
    <t>Жисмоний шахслар бўйича</t>
  </si>
  <si>
    <t>Юридик шахслар бўйича</t>
  </si>
  <si>
    <t>Мурожаатлар сони</t>
  </si>
  <si>
    <t>Ариза</t>
  </si>
  <si>
    <t>Шикоят</t>
  </si>
  <si>
    <t>Таклиф</t>
  </si>
  <si>
    <t xml:space="preserve">Шахсий ва сайёр қабуллар                              (Оғзаки мурожаатлар) </t>
  </si>
  <si>
    <t xml:space="preserve">  учун жавобгарликка тортилганлик тўғрисида маълумот</t>
  </si>
  <si>
    <t>-</t>
  </si>
  <si>
    <t xml:space="preserve"> раҳбар ва масъул ходимлар  томонидан камчиликлар ва қонунбузарликларга йўл қўйилганлиги  </t>
  </si>
  <si>
    <t>вакиллари кўриб чиқилган мурожаатлар тўғрисида маълумот</t>
  </si>
  <si>
    <t>Телефон носозлиги</t>
  </si>
  <si>
    <t xml:space="preserve">Телефон ўрнатиш </t>
  </si>
  <si>
    <t>Телекоммуникация масалалари</t>
  </si>
  <si>
    <t>Почта масаласи</t>
  </si>
  <si>
    <t>Иш, иш ҳақи  масалалари</t>
  </si>
  <si>
    <t>Раҳбарлар фаолияти масалалари</t>
  </si>
  <si>
    <t>Олий ва ўрта махсус таълим масалалари</t>
  </si>
  <si>
    <t>Радио ва телевидение масалалари</t>
  </si>
  <si>
    <t>Моддий ёрдам масаласи</t>
  </si>
  <si>
    <t>Молиявий масалалар</t>
  </si>
  <si>
    <t>Мобиль алоқа масалалари</t>
  </si>
  <si>
    <t>Интернет масалалари</t>
  </si>
  <si>
    <t>Турли масалалар</t>
  </si>
  <si>
    <t xml:space="preserve">Вазир </t>
  </si>
  <si>
    <t xml:space="preserve">Вазирнинг биринчи ўринбосари </t>
  </si>
  <si>
    <t xml:space="preserve">Вазир ўринбосари </t>
  </si>
  <si>
    <t>2021 й</t>
  </si>
  <si>
    <t>Вазир ўринбосари</t>
  </si>
  <si>
    <t>2022 й</t>
  </si>
  <si>
    <t xml:space="preserve">2021 ва 2022 йил мобайнида Ўзбекистон Республикаси Ахборот технологиялари ва коммуникацияларини ривожлантириш вазирлигининг раҳбарияти томонидан қабул қилинган  жисмоний шахслар ва юридик шахслар </t>
  </si>
  <si>
    <t>2021 ва 2022 йил мобайнида Ўзбекистон Республикаси Ахборот технологиялари ва коммуникацияларини ривожлантириш вазирлигига  жисмоний ва юридик шахслардан тушган ва назоратга олинган мурожаатларни кўриб чиқиш натижалари тўғрисида маълумот</t>
  </si>
  <si>
    <t>2021 ва 2022 йил мобайнида Ўзбекистон Республикаси Ахборот технологиялари ва коммуникацияларини ривожлантириш вазирлигига жисмоний ва юридик шахслардан тушган мурожаатларнинг вилоятлар бўйича таққослама таҳлили тўғрисида маълумот</t>
  </si>
  <si>
    <t xml:space="preserve">2021 ва 2022 йил мобайнида Ўзбекистон Республикаси Ахборот технологиялари ва коммуникацияларини ривожлантириш вазирлигига жисмоний ва юридик шахслардан тушган  мурожаатларнинг масалалар ва вилоятлар бўйича таққослама таҳлили тўғрисида </t>
  </si>
  <si>
    <t xml:space="preserve"> 2021 ва 2022 йил мобайнида Ўзбекистон Республикаси Ахборот технологиялари ва коммуникацияларини ривожлантириш вазирлигига жисмоний ва юридик шахслардан тушган</t>
  </si>
  <si>
    <t xml:space="preserve">2022 йил мобайнида Ўзбекистон Республикаси Ахборот технологиялари ва коммуникацияларини ривожлантириш вазирлигига жисмоний ва юридик шахслардан   Ўзбекистон Республикаси Президентининг  </t>
  </si>
  <si>
    <t>2021 ва 2022 йил мобайнида  Ўзбекистон Республикаси Ахборот технологиялари ва коммуникацияларини ривожлантириш вазирлигида   жисмоний ва юридик шахсларнинг  мурожаатларини  кўриб чиқишда</t>
  </si>
  <si>
    <t>2022 йил бўйича мурожаатларни  кўриб чиқиш ҳолатлари</t>
  </si>
  <si>
    <t>2022 йилда тушган мурожаатлар бўйича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</si>
</sst>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ум&quot;;\-#,##0&quot;сум&quot;"/>
    <numFmt numFmtId="173" formatCode="#,##0&quot;сум&quot;;[Red]\-#,##0&quot;сум&quot;"/>
    <numFmt numFmtId="174" formatCode="#,##0.00&quot;сум&quot;;\-#,##0.00&quot;сум&quot;"/>
    <numFmt numFmtId="175" formatCode="#,##0.00&quot;сум&quot;;[Red]\-#,##0.00&quot;сум&quot;"/>
    <numFmt numFmtId="176" formatCode="_-* #,##0&quot;сум&quot;_-;\-* #,##0&quot;сум&quot;_-;_-* &quot;-&quot;&quot;сум&quot;_-;_-@_-"/>
    <numFmt numFmtId="177" formatCode="_-* #,##0_с_у_м_-;\-* #,##0_с_у_м_-;_-* &quot;-&quot;_с_у_м_-;_-@_-"/>
    <numFmt numFmtId="178" formatCode="_-* #,##0.00&quot;сум&quot;_-;\-* #,##0.00&quot;сум&quot;_-;_-* &quot;-&quot;??&quot;сум&quot;_-;_-@_-"/>
    <numFmt numFmtId="179" formatCode="_-* #,##0.00_с_у_м_-;\-* #,##0.00_с_у_м_-;_-* &quot;-&quot;??_с_у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%"/>
    <numFmt numFmtId="192" formatCode="[$€-2]\ ###,000_);[Red]\([$€-2]\ ###,000\)"/>
    <numFmt numFmtId="193" formatCode="[$-FC19]d\ mmmm\ yyyy\ &quot;г.&quot;"/>
  </numFmts>
  <fonts count="81">
    <font>
      <sz val="10"/>
      <name val="Arial"/>
      <family val="0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i/>
      <sz val="18"/>
      <name val="Times New Roman"/>
      <family val="1"/>
    </font>
    <font>
      <sz val="10"/>
      <name val="Calibri"/>
      <family val="2"/>
    </font>
    <font>
      <i/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i/>
      <sz val="20"/>
      <name val="Times New Roman"/>
      <family val="1"/>
    </font>
    <font>
      <i/>
      <sz val="22"/>
      <name val="Times New Roman"/>
      <family val="1"/>
    </font>
    <font>
      <sz val="36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28"/>
      <name val="Times New Roman"/>
      <family val="1"/>
    </font>
    <font>
      <i/>
      <sz val="24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22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22"/>
      <color rgb="FFFF0000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8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91" fontId="9" fillId="0" borderId="0" xfId="0" applyNumberFormat="1" applyFont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2" fillId="33" borderId="15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7" fillId="0" borderId="0" xfId="0" applyFont="1" applyAlignment="1">
      <alignment/>
    </xf>
    <xf numFmtId="0" fontId="1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7" fillId="0" borderId="0" xfId="0" applyFont="1" applyAlignment="1">
      <alignment horizontal="right"/>
    </xf>
    <xf numFmtId="0" fontId="33" fillId="0" borderId="0" xfId="0" applyFont="1" applyAlignment="1">
      <alignment horizontal="justify"/>
    </xf>
    <xf numFmtId="0" fontId="32" fillId="0" borderId="0" xfId="0" applyFont="1" applyAlignment="1">
      <alignment wrapText="1"/>
    </xf>
    <xf numFmtId="0" fontId="31" fillId="0" borderId="0" xfId="0" applyFont="1" applyAlignment="1">
      <alignment vertical="top"/>
    </xf>
    <xf numFmtId="0" fontId="13" fillId="0" borderId="40" xfId="0" applyFont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33" fillId="34" borderId="28" xfId="0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4" fontId="4" fillId="34" borderId="22" xfId="0" applyNumberFormat="1" applyFont="1" applyFill="1" applyBorder="1" applyAlignment="1">
      <alignment horizontal="left" vertical="center" wrapText="1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76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4" fontId="20" fillId="35" borderId="10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3" fillId="34" borderId="44" xfId="0" applyFont="1" applyFill="1" applyBorder="1" applyAlignment="1">
      <alignment horizontal="center" vertical="center" wrapText="1"/>
    </xf>
    <xf numFmtId="0" fontId="33" fillId="34" borderId="45" xfId="0" applyFont="1" applyFill="1" applyBorder="1" applyAlignment="1">
      <alignment horizontal="center" vertical="center" wrapText="1"/>
    </xf>
    <xf numFmtId="0" fontId="33" fillId="34" borderId="43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33" fillId="34" borderId="4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15" fillId="0" borderId="55" xfId="0" applyNumberFormat="1" applyFont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7" xfId="0" applyNumberFormat="1" applyFont="1" applyFill="1" applyBorder="1" applyAlignment="1">
      <alignment horizontal="center" vertical="center" wrapText="1"/>
    </xf>
    <xf numFmtId="0" fontId="11" fillId="0" borderId="58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53" xfId="0" applyNumberFormat="1" applyFont="1" applyBorder="1" applyAlignment="1">
      <alignment horizontal="center" vertical="center"/>
    </xf>
    <xf numFmtId="0" fontId="11" fillId="0" borderId="55" xfId="0" applyNumberFormat="1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NumberFormat="1" applyFont="1" applyBorder="1" applyAlignment="1">
      <alignment horizontal="center" vertical="center" wrapText="1"/>
    </xf>
    <xf numFmtId="0" fontId="11" fillId="0" borderId="68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34" borderId="51" xfId="0" applyNumberFormat="1" applyFont="1" applyFill="1" applyBorder="1" applyAlignment="1">
      <alignment horizontal="center" vertical="center"/>
    </xf>
    <xf numFmtId="0" fontId="15" fillId="0" borderId="56" xfId="0" applyNumberFormat="1" applyFont="1" applyBorder="1" applyAlignment="1" applyProtection="1">
      <alignment horizontal="center" vertical="center"/>
      <protection locked="0"/>
    </xf>
    <xf numFmtId="0" fontId="15" fillId="34" borderId="52" xfId="0" applyNumberFormat="1" applyFont="1" applyFill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34" borderId="29" xfId="0" applyNumberFormat="1" applyFont="1" applyFill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74" xfId="0" applyNumberFormat="1" applyFont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69" xfId="0" applyNumberFormat="1" applyFont="1" applyBorder="1" applyAlignment="1">
      <alignment horizontal="center" vertical="center" wrapText="1"/>
    </xf>
    <xf numFmtId="0" fontId="11" fillId="0" borderId="7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35" borderId="65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15" fillId="34" borderId="66" xfId="0" applyNumberFormat="1" applyFont="1" applyFill="1" applyBorder="1" applyAlignment="1">
      <alignment horizontal="center" vertical="center"/>
    </xf>
    <xf numFmtId="0" fontId="15" fillId="0" borderId="75" xfId="0" applyNumberFormat="1" applyFont="1" applyBorder="1" applyAlignment="1">
      <alignment horizontal="center" vertical="center"/>
    </xf>
    <xf numFmtId="0" fontId="14" fillId="34" borderId="70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5" fillId="0" borderId="67" xfId="0" applyNumberFormat="1" applyFont="1" applyBorder="1" applyAlignment="1" applyProtection="1">
      <alignment horizontal="center" vertical="center"/>
      <protection locked="0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1" fillId="0" borderId="68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76" xfId="0" applyNumberFormat="1" applyFont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20" fillId="0" borderId="56" xfId="53" applyFont="1" applyBorder="1" applyAlignment="1">
      <alignment horizontal="center" vertical="center"/>
      <protection/>
    </xf>
    <xf numFmtId="0" fontId="20" fillId="0" borderId="55" xfId="53" applyFont="1" applyBorder="1" applyAlignment="1">
      <alignment horizontal="center" vertical="center"/>
      <protection/>
    </xf>
    <xf numFmtId="0" fontId="20" fillId="0" borderId="67" xfId="53" applyFont="1" applyBorder="1" applyAlignment="1">
      <alignment horizontal="center" vertical="center"/>
      <protection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15" fillId="0" borderId="48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/>
    </xf>
    <xf numFmtId="0" fontId="15" fillId="0" borderId="52" xfId="0" applyNumberFormat="1" applyFont="1" applyBorder="1" applyAlignment="1">
      <alignment horizontal="center" vertical="center"/>
    </xf>
    <xf numFmtId="0" fontId="15" fillId="0" borderId="66" xfId="0" applyNumberFormat="1" applyFont="1" applyBorder="1" applyAlignment="1">
      <alignment horizontal="center" vertical="center"/>
    </xf>
    <xf numFmtId="0" fontId="15" fillId="0" borderId="47" xfId="0" applyNumberFormat="1" applyFont="1" applyBorder="1" applyAlignment="1">
      <alignment horizontal="center" vertical="center"/>
    </xf>
    <xf numFmtId="0" fontId="15" fillId="0" borderId="78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51" xfId="0" applyNumberFormat="1" applyFont="1" applyBorder="1" applyAlignment="1" applyProtection="1">
      <alignment horizontal="center" vertical="center"/>
      <protection locked="0"/>
    </xf>
    <xf numFmtId="0" fontId="15" fillId="0" borderId="52" xfId="0" applyNumberFormat="1" applyFont="1" applyBorder="1" applyAlignment="1" applyProtection="1">
      <alignment horizontal="center" vertical="center"/>
      <protection locked="0"/>
    </xf>
    <xf numFmtId="0" fontId="15" fillId="0" borderId="66" xfId="0" applyNumberFormat="1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6" fillId="0" borderId="5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80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2" fillId="0" borderId="0" xfId="0" applyFont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right"/>
    </xf>
    <xf numFmtId="0" fontId="2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81" xfId="0" applyFont="1" applyBorder="1" applyAlignment="1">
      <alignment horizontal="center" vertical="center" textRotation="90" wrapText="1"/>
    </xf>
    <xf numFmtId="0" fontId="7" fillId="0" borderId="71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3" fillId="0" borderId="3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13" fillId="0" borderId="4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43" xfId="0" applyFont="1" applyBorder="1" applyAlignment="1">
      <alignment horizontal="center" vertical="center" textRotation="90" wrapText="1"/>
    </xf>
    <xf numFmtId="0" fontId="14" fillId="0" borderId="41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right"/>
    </xf>
    <xf numFmtId="0" fontId="14" fillId="0" borderId="2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top" wrapText="1"/>
    </xf>
    <xf numFmtId="0" fontId="34" fillId="34" borderId="25" xfId="0" applyFont="1" applyFill="1" applyBorder="1" applyAlignment="1">
      <alignment horizontal="right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76" fillId="0" borderId="30" xfId="0" applyFont="1" applyBorder="1" applyAlignment="1">
      <alignment horizontal="center" vertical="center" wrapText="1"/>
    </xf>
    <xf numFmtId="0" fontId="76" fillId="0" borderId="42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78" fillId="0" borderId="25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6" fillId="0" borderId="18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13" fillId="0" borderId="18" xfId="0" applyFont="1" applyBorder="1" applyAlignment="1">
      <alignment horizontal="center" vertical="center"/>
    </xf>
    <xf numFmtId="0" fontId="0" fillId="0" borderId="4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BreakPreview" zoomScale="60" zoomScaleNormal="55" zoomScalePageLayoutView="0" workbookViewId="0" topLeftCell="A1">
      <selection activeCell="G14" sqref="G14"/>
    </sheetView>
  </sheetViews>
  <sheetFormatPr defaultColWidth="9.140625" defaultRowHeight="12.75"/>
  <cols>
    <col min="1" max="1" width="6.7109375" style="12" customWidth="1"/>
    <col min="2" max="2" width="72.421875" style="12" customWidth="1"/>
    <col min="3" max="10" width="20.7109375" style="12" customWidth="1"/>
    <col min="11" max="16384" width="9.140625" style="12" customWidth="1"/>
  </cols>
  <sheetData>
    <row r="1" spans="2:10" ht="27.75">
      <c r="B1" s="22"/>
      <c r="C1" s="22"/>
      <c r="D1" s="22"/>
      <c r="E1" s="22"/>
      <c r="F1" s="22"/>
      <c r="J1" s="22" t="s">
        <v>1</v>
      </c>
    </row>
    <row r="2" spans="1:10" ht="62.25" customHeight="1">
      <c r="A2" s="378" t="s">
        <v>113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27.75">
      <c r="A3" s="377" t="s">
        <v>93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0" ht="28.5" thickBot="1">
      <c r="A4" s="13"/>
      <c r="B4" s="13"/>
      <c r="C4" s="13"/>
      <c r="D4" s="389"/>
      <c r="E4" s="389"/>
      <c r="F4" s="389"/>
      <c r="G4" s="390"/>
      <c r="H4" s="13"/>
      <c r="I4" s="13"/>
      <c r="J4" s="13"/>
    </row>
    <row r="5" spans="1:10" ht="32.25" customHeight="1" thickBot="1">
      <c r="A5" s="385" t="s">
        <v>0</v>
      </c>
      <c r="B5" s="366" t="s">
        <v>18</v>
      </c>
      <c r="C5" s="379" t="s">
        <v>12</v>
      </c>
      <c r="D5" s="380"/>
      <c r="E5" s="374" t="s">
        <v>40</v>
      </c>
      <c r="F5" s="375"/>
      <c r="G5" s="375"/>
      <c r="H5" s="375"/>
      <c r="I5" s="375"/>
      <c r="J5" s="376"/>
    </row>
    <row r="6" spans="1:10" ht="36" customHeight="1" hidden="1" thickBot="1">
      <c r="A6" s="386"/>
      <c r="B6" s="367"/>
      <c r="C6" s="370"/>
      <c r="D6" s="381"/>
      <c r="E6" s="91"/>
      <c r="F6" s="112"/>
      <c r="G6" s="41"/>
      <c r="H6" s="42"/>
      <c r="I6" s="42"/>
      <c r="J6" s="43"/>
    </row>
    <row r="7" spans="1:10" ht="33" customHeight="1">
      <c r="A7" s="386"/>
      <c r="B7" s="367"/>
      <c r="C7" s="370"/>
      <c r="D7" s="381"/>
      <c r="E7" s="370" t="s">
        <v>89</v>
      </c>
      <c r="F7" s="371"/>
      <c r="G7" s="379" t="s">
        <v>9</v>
      </c>
      <c r="H7" s="384"/>
      <c r="I7" s="379" t="s">
        <v>71</v>
      </c>
      <c r="J7" s="384"/>
    </row>
    <row r="8" spans="1:10" ht="52.5" customHeight="1" thickBot="1">
      <c r="A8" s="387"/>
      <c r="B8" s="368"/>
      <c r="C8" s="382"/>
      <c r="D8" s="383"/>
      <c r="E8" s="372"/>
      <c r="F8" s="373"/>
      <c r="G8" s="372"/>
      <c r="H8" s="373"/>
      <c r="I8" s="372"/>
      <c r="J8" s="373"/>
    </row>
    <row r="9" spans="1:10" ht="33" customHeight="1" thickBot="1">
      <c r="A9" s="388"/>
      <c r="B9" s="369"/>
      <c r="C9" s="54" t="s">
        <v>110</v>
      </c>
      <c r="D9" s="55" t="s">
        <v>112</v>
      </c>
      <c r="E9" s="54" t="s">
        <v>110</v>
      </c>
      <c r="F9" s="55" t="s">
        <v>112</v>
      </c>
      <c r="G9" s="54" t="s">
        <v>110</v>
      </c>
      <c r="H9" s="55" t="s">
        <v>112</v>
      </c>
      <c r="I9" s="54" t="s">
        <v>110</v>
      </c>
      <c r="J9" s="55" t="s">
        <v>112</v>
      </c>
    </row>
    <row r="10" spans="1:10" ht="33" customHeight="1" thickBot="1">
      <c r="A10" s="53">
        <v>1</v>
      </c>
      <c r="B10" s="53">
        <v>2</v>
      </c>
      <c r="C10" s="127">
        <v>3</v>
      </c>
      <c r="D10" s="214">
        <v>4</v>
      </c>
      <c r="E10" s="127">
        <v>5</v>
      </c>
      <c r="F10" s="216">
        <v>6</v>
      </c>
      <c r="G10" s="213">
        <v>7</v>
      </c>
      <c r="H10" s="214">
        <v>8</v>
      </c>
      <c r="I10" s="213">
        <v>9</v>
      </c>
      <c r="J10" s="214">
        <v>10</v>
      </c>
    </row>
    <row r="11" spans="1:10" ht="49.5" customHeight="1">
      <c r="A11" s="19">
        <v>1</v>
      </c>
      <c r="B11" s="23" t="s">
        <v>107</v>
      </c>
      <c r="C11" s="238">
        <f aca="true" t="shared" si="0" ref="C11:D16">SUM(E11,G11,I11)</f>
        <v>82</v>
      </c>
      <c r="D11" s="215">
        <f t="shared" si="0"/>
        <v>90</v>
      </c>
      <c r="E11" s="314">
        <f>1+17+4+8</f>
        <v>30</v>
      </c>
      <c r="F11" s="281">
        <f>1+33+15+1</f>
        <v>50</v>
      </c>
      <c r="G11" s="145">
        <f>18+12+8+9</f>
        <v>47</v>
      </c>
      <c r="H11" s="145">
        <f>7+11+12+10</f>
        <v>40</v>
      </c>
      <c r="I11" s="215">
        <v>5</v>
      </c>
      <c r="J11" s="215">
        <v>0</v>
      </c>
    </row>
    <row r="12" spans="1:10" ht="49.5" customHeight="1">
      <c r="A12" s="20">
        <v>2</v>
      </c>
      <c r="B12" s="24" t="s">
        <v>108</v>
      </c>
      <c r="C12" s="239">
        <f t="shared" si="0"/>
        <v>67</v>
      </c>
      <c r="D12" s="147">
        <f t="shared" si="0"/>
        <v>75</v>
      </c>
      <c r="E12" s="315">
        <f>14+4+1</f>
        <v>19</v>
      </c>
      <c r="F12" s="282">
        <f>7+28+12+1</f>
        <v>48</v>
      </c>
      <c r="G12" s="146">
        <f>7+16+12+9</f>
        <v>44</v>
      </c>
      <c r="H12" s="146">
        <f>4+3+11+9</f>
        <v>27</v>
      </c>
      <c r="I12" s="147">
        <v>4</v>
      </c>
      <c r="J12" s="147">
        <v>0</v>
      </c>
    </row>
    <row r="13" spans="1:10" ht="49.5" customHeight="1">
      <c r="A13" s="20">
        <v>3</v>
      </c>
      <c r="B13" s="24" t="s">
        <v>109</v>
      </c>
      <c r="C13" s="239">
        <f t="shared" si="0"/>
        <v>461</v>
      </c>
      <c r="D13" s="147">
        <f t="shared" si="0"/>
        <v>233</v>
      </c>
      <c r="E13" s="315">
        <f>30+15+25+1</f>
        <v>71</v>
      </c>
      <c r="F13" s="282">
        <f>8+11+22+2</f>
        <v>43</v>
      </c>
      <c r="G13" s="146">
        <f>39+27+21+29</f>
        <v>116</v>
      </c>
      <c r="H13" s="146">
        <f>51+37+37+33</f>
        <v>158</v>
      </c>
      <c r="I13" s="147">
        <f>206+38+16+14</f>
        <v>274</v>
      </c>
      <c r="J13" s="147">
        <f>14+9+6+3</f>
        <v>32</v>
      </c>
    </row>
    <row r="14" spans="1:10" ht="49.5" customHeight="1">
      <c r="A14" s="20">
        <v>4</v>
      </c>
      <c r="B14" s="24" t="s">
        <v>111</v>
      </c>
      <c r="C14" s="239">
        <f t="shared" si="0"/>
        <v>76</v>
      </c>
      <c r="D14" s="147">
        <f t="shared" si="0"/>
        <v>64</v>
      </c>
      <c r="E14" s="315">
        <f>8+10</f>
        <v>18</v>
      </c>
      <c r="F14" s="282">
        <f>1+6+1</f>
        <v>8</v>
      </c>
      <c r="G14" s="146">
        <f>5+15+11+25</f>
        <v>56</v>
      </c>
      <c r="H14" s="146">
        <f>12+12+17+12</f>
        <v>53</v>
      </c>
      <c r="I14" s="147">
        <v>2</v>
      </c>
      <c r="J14" s="147">
        <v>3</v>
      </c>
    </row>
    <row r="15" spans="1:10" ht="49.5" customHeight="1" thickBot="1">
      <c r="A15" s="21">
        <v>5</v>
      </c>
      <c r="B15" s="25" t="s">
        <v>109</v>
      </c>
      <c r="C15" s="286">
        <f t="shared" si="0"/>
        <v>29</v>
      </c>
      <c r="D15" s="287">
        <f t="shared" si="0"/>
        <v>22</v>
      </c>
      <c r="E15" s="315">
        <v>8</v>
      </c>
      <c r="F15" s="283">
        <v>16</v>
      </c>
      <c r="G15" s="146">
        <f>1+7+5+5</f>
        <v>18</v>
      </c>
      <c r="H15" s="290">
        <v>6</v>
      </c>
      <c r="I15" s="147">
        <v>3</v>
      </c>
      <c r="J15" s="287">
        <v>0</v>
      </c>
    </row>
    <row r="16" spans="1:10" ht="49.5" customHeight="1" thickBot="1">
      <c r="A16" s="16"/>
      <c r="B16" s="26" t="s">
        <v>13</v>
      </c>
      <c r="C16" s="284">
        <f>E16+G16+I16</f>
        <v>715</v>
      </c>
      <c r="D16" s="288">
        <f t="shared" si="0"/>
        <v>484</v>
      </c>
      <c r="E16" s="285">
        <f aca="true" t="shared" si="1" ref="E16:J16">SUM(E11:E15)</f>
        <v>146</v>
      </c>
      <c r="F16" s="289">
        <f t="shared" si="1"/>
        <v>165</v>
      </c>
      <c r="G16" s="291">
        <f t="shared" si="1"/>
        <v>281</v>
      </c>
      <c r="H16" s="292">
        <f t="shared" si="1"/>
        <v>284</v>
      </c>
      <c r="I16" s="293">
        <f t="shared" si="1"/>
        <v>288</v>
      </c>
      <c r="J16" s="294">
        <f t="shared" si="1"/>
        <v>35</v>
      </c>
    </row>
    <row r="17" spans="1:10" ht="87" customHeight="1">
      <c r="A17" s="14"/>
      <c r="B17" s="15"/>
      <c r="C17" s="15"/>
      <c r="D17" s="15"/>
      <c r="E17" s="15"/>
      <c r="F17" s="144"/>
      <c r="G17" s="15"/>
      <c r="H17" s="15"/>
      <c r="I17" s="15"/>
      <c r="J17" s="15"/>
    </row>
    <row r="18" spans="1:7" ht="36.75" customHeight="1">
      <c r="A18" s="14"/>
      <c r="B18" s="13"/>
      <c r="C18" s="74"/>
      <c r="G18" s="74"/>
    </row>
    <row r="19" spans="1:2" ht="27.75">
      <c r="A19" s="14"/>
      <c r="B19" s="15"/>
    </row>
    <row r="20" spans="1:2" ht="27.75">
      <c r="A20" s="14"/>
      <c r="B20" s="15"/>
    </row>
    <row r="21" spans="1:10" ht="27.75">
      <c r="A21" s="14"/>
      <c r="B21" s="15"/>
      <c r="C21" s="11"/>
      <c r="D21" s="10"/>
      <c r="E21" s="10"/>
      <c r="F21" s="10"/>
      <c r="G21" s="10"/>
      <c r="H21" s="10"/>
      <c r="I21" s="10"/>
      <c r="J21" s="10"/>
    </row>
    <row r="22" spans="1:2" ht="27.75">
      <c r="A22" s="14"/>
      <c r="B22" s="15"/>
    </row>
    <row r="23" spans="1:2" ht="27.75">
      <c r="A23" s="14"/>
      <c r="B23" s="15"/>
    </row>
    <row r="24" spans="1:2" ht="27.75">
      <c r="A24" s="14"/>
      <c r="B24" s="15"/>
    </row>
    <row r="25" spans="1:2" ht="27.75">
      <c r="A25" s="14"/>
      <c r="B25" s="15"/>
    </row>
    <row r="26" ht="27.75">
      <c r="A26" s="14"/>
    </row>
    <row r="27" ht="27.75">
      <c r="A27" s="14"/>
    </row>
    <row r="28" ht="27.75">
      <c r="A28" s="14"/>
    </row>
    <row r="29" spans="1:10" ht="27.75">
      <c r="A29" s="14"/>
      <c r="B29" s="11"/>
      <c r="C29" s="10"/>
      <c r="D29" s="10"/>
      <c r="E29" s="10"/>
      <c r="F29" s="10"/>
      <c r="G29" s="10"/>
      <c r="H29" s="10"/>
      <c r="I29" s="10"/>
      <c r="J29" s="10"/>
    </row>
    <row r="30" ht="27.75">
      <c r="A30" s="14"/>
    </row>
    <row r="31" ht="27.75">
      <c r="A31" s="14"/>
    </row>
    <row r="32" ht="27.75">
      <c r="A32" s="14"/>
    </row>
    <row r="33" ht="27.75">
      <c r="A33" s="14"/>
    </row>
    <row r="34" ht="27.75">
      <c r="A34" s="14"/>
    </row>
    <row r="35" spans="1:10" ht="27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27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27.7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27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27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7.7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27.7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27.7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27.7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27.7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27.7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27.7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27.7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7.7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27.7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7.7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27.7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27.7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27.7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27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27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27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27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27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27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27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27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27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27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27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27.7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27.7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27.7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27.7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27.75">
      <c r="A69" s="14"/>
      <c r="B69" s="14"/>
      <c r="C69" s="14"/>
      <c r="D69" s="14"/>
      <c r="E69" s="14"/>
      <c r="F69" s="14"/>
      <c r="G69" s="14"/>
      <c r="H69" s="14"/>
      <c r="I69" s="14"/>
      <c r="J69" s="14"/>
    </row>
  </sheetData>
  <sheetProtection/>
  <mergeCells count="10">
    <mergeCell ref="B5:B9"/>
    <mergeCell ref="E7:F8"/>
    <mergeCell ref="E5:J5"/>
    <mergeCell ref="A3:J3"/>
    <mergeCell ref="A2:J2"/>
    <mergeCell ref="C5:D8"/>
    <mergeCell ref="G7:H8"/>
    <mergeCell ref="I7:J8"/>
    <mergeCell ref="A5:A9"/>
    <mergeCell ref="D4:G4"/>
  </mergeCells>
  <printOptions horizontalCentered="1" verticalCentered="1"/>
  <pageMargins left="0.31496062992125984" right="0.2362204724409449" top="0.5905511811023623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55" zoomScaleNormal="40" zoomScaleSheetLayoutView="55" zoomScalePageLayoutView="0" workbookViewId="0" topLeftCell="A7">
      <selection activeCell="M19" sqref="M19"/>
    </sheetView>
  </sheetViews>
  <sheetFormatPr defaultColWidth="9.140625" defaultRowHeight="12.75"/>
  <cols>
    <col min="1" max="1" width="7.421875" style="3" customWidth="1"/>
    <col min="2" max="2" width="72.28125" style="3" customWidth="1"/>
    <col min="3" max="4" width="17.7109375" style="3" customWidth="1"/>
    <col min="5" max="10" width="13.7109375" style="3" customWidth="1"/>
    <col min="11" max="11" width="23.57421875" style="3" customWidth="1"/>
    <col min="12" max="17" width="14.7109375" style="3" customWidth="1"/>
    <col min="18" max="16384" width="9.140625" style="3" customWidth="1"/>
  </cols>
  <sheetData>
    <row r="1" ht="30.75">
      <c r="Q1" s="87" t="s">
        <v>14</v>
      </c>
    </row>
    <row r="2" spans="1:17" ht="59.25" customHeight="1">
      <c r="A2" s="410" t="s">
        <v>114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ht="40.5" customHeight="1" thickBot="1">
      <c r="A3" s="4"/>
      <c r="B3" s="4"/>
      <c r="C3" s="4"/>
      <c r="D3" s="4"/>
      <c r="E3" s="4"/>
      <c r="F3" s="4"/>
      <c r="G3" s="414"/>
      <c r="H3" s="414"/>
      <c r="I3" s="414"/>
      <c r="J3" s="4"/>
      <c r="K3" s="4"/>
      <c r="P3" s="413"/>
      <c r="Q3" s="413"/>
    </row>
    <row r="4" spans="1:17" ht="33" customHeight="1" thickBot="1">
      <c r="A4" s="411" t="s">
        <v>0</v>
      </c>
      <c r="B4" s="397" t="s">
        <v>66</v>
      </c>
      <c r="C4" s="397" t="s">
        <v>3</v>
      </c>
      <c r="D4" s="398"/>
      <c r="E4" s="391" t="s">
        <v>4</v>
      </c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</row>
    <row r="5" spans="1:17" ht="58.5" customHeight="1" thickBot="1">
      <c r="A5" s="412"/>
      <c r="B5" s="399"/>
      <c r="C5" s="399"/>
      <c r="D5" s="400"/>
      <c r="E5" s="391" t="s">
        <v>40</v>
      </c>
      <c r="F5" s="392"/>
      <c r="G5" s="392"/>
      <c r="H5" s="392"/>
      <c r="I5" s="392"/>
      <c r="J5" s="393"/>
      <c r="K5" s="391" t="s">
        <v>120</v>
      </c>
      <c r="L5" s="392"/>
      <c r="M5" s="392"/>
      <c r="N5" s="392"/>
      <c r="O5" s="392"/>
      <c r="P5" s="392"/>
      <c r="Q5" s="393"/>
    </row>
    <row r="6" spans="1:17" ht="33" customHeight="1" thickBot="1">
      <c r="A6" s="412"/>
      <c r="B6" s="399"/>
      <c r="C6" s="399"/>
      <c r="D6" s="400"/>
      <c r="E6" s="397" t="s">
        <v>9</v>
      </c>
      <c r="F6" s="398"/>
      <c r="G6" s="399" t="s">
        <v>70</v>
      </c>
      <c r="H6" s="415"/>
      <c r="I6" s="399" t="s">
        <v>41</v>
      </c>
      <c r="J6" s="400"/>
      <c r="K6" s="399" t="s">
        <v>67</v>
      </c>
      <c r="L6" s="401" t="s">
        <v>38</v>
      </c>
      <c r="M6" s="405"/>
      <c r="N6" s="405"/>
      <c r="O6" s="402"/>
      <c r="P6" s="409" t="s">
        <v>61</v>
      </c>
      <c r="Q6" s="409" t="s">
        <v>62</v>
      </c>
    </row>
    <row r="7" spans="1:17" ht="30" customHeight="1">
      <c r="A7" s="412"/>
      <c r="B7" s="399"/>
      <c r="C7" s="399"/>
      <c r="D7" s="400"/>
      <c r="E7" s="399"/>
      <c r="F7" s="400"/>
      <c r="G7" s="399"/>
      <c r="H7" s="415"/>
      <c r="I7" s="399"/>
      <c r="J7" s="400"/>
      <c r="K7" s="399"/>
      <c r="L7" s="394" t="s">
        <v>65</v>
      </c>
      <c r="M7" s="406" t="s">
        <v>37</v>
      </c>
      <c r="N7" s="406" t="s">
        <v>16</v>
      </c>
      <c r="O7" s="416" t="s">
        <v>39</v>
      </c>
      <c r="P7" s="409"/>
      <c r="Q7" s="409"/>
    </row>
    <row r="8" spans="1:17" ht="21.75" customHeight="1">
      <c r="A8" s="412"/>
      <c r="B8" s="399"/>
      <c r="C8" s="399"/>
      <c r="D8" s="400"/>
      <c r="E8" s="399"/>
      <c r="F8" s="400"/>
      <c r="G8" s="399"/>
      <c r="H8" s="415"/>
      <c r="I8" s="399"/>
      <c r="J8" s="400"/>
      <c r="K8" s="399"/>
      <c r="L8" s="395"/>
      <c r="M8" s="407"/>
      <c r="N8" s="407"/>
      <c r="O8" s="417"/>
      <c r="P8" s="409"/>
      <c r="Q8" s="409"/>
    </row>
    <row r="9" spans="1:17" ht="153" customHeight="1" thickBot="1">
      <c r="A9" s="412"/>
      <c r="B9" s="399"/>
      <c r="C9" s="401"/>
      <c r="D9" s="402"/>
      <c r="E9" s="401"/>
      <c r="F9" s="402"/>
      <c r="G9" s="401"/>
      <c r="H9" s="405"/>
      <c r="I9" s="401"/>
      <c r="J9" s="402"/>
      <c r="K9" s="399"/>
      <c r="L9" s="395"/>
      <c r="M9" s="407"/>
      <c r="N9" s="407"/>
      <c r="O9" s="417"/>
      <c r="P9" s="409"/>
      <c r="Q9" s="409"/>
    </row>
    <row r="10" spans="1:17" ht="30" customHeight="1" thickBot="1">
      <c r="A10" s="412"/>
      <c r="B10" s="399"/>
      <c r="C10" s="211" t="s">
        <v>110</v>
      </c>
      <c r="D10" s="212" t="s">
        <v>112</v>
      </c>
      <c r="E10" s="211" t="s">
        <v>110</v>
      </c>
      <c r="F10" s="212" t="s">
        <v>112</v>
      </c>
      <c r="G10" s="211" t="s">
        <v>110</v>
      </c>
      <c r="H10" s="212" t="s">
        <v>112</v>
      </c>
      <c r="I10" s="211" t="s">
        <v>110</v>
      </c>
      <c r="J10" s="212" t="s">
        <v>112</v>
      </c>
      <c r="K10" s="401"/>
      <c r="L10" s="396"/>
      <c r="M10" s="408"/>
      <c r="N10" s="408"/>
      <c r="O10" s="418"/>
      <c r="P10" s="409"/>
      <c r="Q10" s="409"/>
    </row>
    <row r="11" spans="1:17" ht="30" customHeight="1" thickBot="1">
      <c r="A11" s="29">
        <v>1</v>
      </c>
      <c r="B11" s="29">
        <v>2</v>
      </c>
      <c r="C11" s="27">
        <v>3</v>
      </c>
      <c r="D11" s="28">
        <v>4</v>
      </c>
      <c r="E11" s="27">
        <v>5</v>
      </c>
      <c r="F11" s="349">
        <v>6</v>
      </c>
      <c r="G11" s="128">
        <v>7</v>
      </c>
      <c r="H11" s="142">
        <v>8</v>
      </c>
      <c r="I11" s="27">
        <v>9</v>
      </c>
      <c r="J11" s="349">
        <v>10</v>
      </c>
      <c r="K11" s="209">
        <v>11</v>
      </c>
      <c r="L11" s="241">
        <v>12</v>
      </c>
      <c r="M11" s="139">
        <v>13</v>
      </c>
      <c r="N11" s="142">
        <v>14</v>
      </c>
      <c r="O11" s="255">
        <v>15</v>
      </c>
      <c r="P11" s="138">
        <v>16</v>
      </c>
      <c r="Q11" s="240">
        <v>17</v>
      </c>
    </row>
    <row r="12" spans="1:17" s="224" customFormat="1" ht="39.75" customHeight="1">
      <c r="A12" s="222">
        <v>1</v>
      </c>
      <c r="B12" s="119" t="s">
        <v>94</v>
      </c>
      <c r="C12" s="310">
        <f>SUM(E12,G12,I12)</f>
        <v>8</v>
      </c>
      <c r="D12" s="311">
        <f aca="true" t="shared" si="0" ref="D12:D25">SUM(F12,H12,J12)</f>
        <v>3</v>
      </c>
      <c r="E12" s="346">
        <v>0</v>
      </c>
      <c r="F12" s="346">
        <v>2</v>
      </c>
      <c r="G12" s="334">
        <v>2</v>
      </c>
      <c r="H12" s="334">
        <v>0</v>
      </c>
      <c r="I12" s="343">
        <v>6</v>
      </c>
      <c r="J12" s="350">
        <v>1</v>
      </c>
      <c r="K12" s="258">
        <f>SUM(L12:O12)</f>
        <v>3</v>
      </c>
      <c r="L12" s="320">
        <v>3</v>
      </c>
      <c r="M12" s="321">
        <v>0</v>
      </c>
      <c r="N12" s="322">
        <v>0</v>
      </c>
      <c r="O12" s="321">
        <v>0</v>
      </c>
      <c r="P12" s="258">
        <v>0</v>
      </c>
      <c r="Q12" s="223">
        <v>0</v>
      </c>
    </row>
    <row r="13" spans="1:17" s="224" customFormat="1" ht="39.75" customHeight="1">
      <c r="A13" s="225">
        <v>2</v>
      </c>
      <c r="B13" s="120" t="s">
        <v>95</v>
      </c>
      <c r="C13" s="226">
        <f aca="true" t="shared" si="1" ref="C13:C24">SUM(E13,G13,I13)</f>
        <v>7</v>
      </c>
      <c r="D13" s="312">
        <f t="shared" si="0"/>
        <v>2</v>
      </c>
      <c r="E13" s="227">
        <f>1+1</f>
        <v>2</v>
      </c>
      <c r="F13" s="227">
        <v>0</v>
      </c>
      <c r="G13" s="335">
        <v>1</v>
      </c>
      <c r="H13" s="335">
        <v>2</v>
      </c>
      <c r="I13" s="344">
        <f>2+1+1</f>
        <v>4</v>
      </c>
      <c r="J13" s="229">
        <v>0</v>
      </c>
      <c r="K13" s="259">
        <f aca="true" t="shared" si="2" ref="K13:K25">SUM(L13:O13)</f>
        <v>2</v>
      </c>
      <c r="L13" s="323">
        <v>1</v>
      </c>
      <c r="M13" s="324">
        <v>1</v>
      </c>
      <c r="N13" s="325">
        <v>0</v>
      </c>
      <c r="O13" s="324">
        <v>0</v>
      </c>
      <c r="P13" s="259">
        <v>0</v>
      </c>
      <c r="Q13" s="228">
        <v>0</v>
      </c>
    </row>
    <row r="14" spans="1:17" s="224" customFormat="1" ht="39.75" customHeight="1">
      <c r="A14" s="225">
        <v>3</v>
      </c>
      <c r="B14" s="120" t="s">
        <v>96</v>
      </c>
      <c r="C14" s="226">
        <f t="shared" si="1"/>
        <v>74</v>
      </c>
      <c r="D14" s="312">
        <f t="shared" si="0"/>
        <v>79</v>
      </c>
      <c r="E14" s="227">
        <f>1+6+2+3</f>
        <v>12</v>
      </c>
      <c r="F14" s="227">
        <f>6+1+1+5</f>
        <v>13</v>
      </c>
      <c r="G14" s="335">
        <f>1+1+1+1</f>
        <v>4</v>
      </c>
      <c r="H14" s="335">
        <v>0</v>
      </c>
      <c r="I14" s="344">
        <f>14+11+17+16</f>
        <v>58</v>
      </c>
      <c r="J14" s="229">
        <f>2+11+32+21</f>
        <v>66</v>
      </c>
      <c r="K14" s="259">
        <f t="shared" si="2"/>
        <v>79</v>
      </c>
      <c r="L14" s="323">
        <f>7+22+13</f>
        <v>42</v>
      </c>
      <c r="M14" s="324">
        <f>13+11+13</f>
        <v>37</v>
      </c>
      <c r="N14" s="325">
        <v>0</v>
      </c>
      <c r="O14" s="324">
        <v>0</v>
      </c>
      <c r="P14" s="259">
        <v>0</v>
      </c>
      <c r="Q14" s="228">
        <v>0</v>
      </c>
    </row>
    <row r="15" spans="1:17" s="224" customFormat="1" ht="39.75" customHeight="1">
      <c r="A15" s="225">
        <v>4</v>
      </c>
      <c r="B15" s="121" t="s">
        <v>97</v>
      </c>
      <c r="C15" s="226">
        <f t="shared" si="1"/>
        <v>15</v>
      </c>
      <c r="D15" s="312">
        <f t="shared" si="0"/>
        <v>16</v>
      </c>
      <c r="E15" s="227">
        <f>3+4+2+1</f>
        <v>10</v>
      </c>
      <c r="F15" s="227">
        <f>3+2+2+4</f>
        <v>11</v>
      </c>
      <c r="G15" s="335">
        <v>0</v>
      </c>
      <c r="H15" s="335">
        <v>0</v>
      </c>
      <c r="I15" s="344">
        <f>3+1+1</f>
        <v>5</v>
      </c>
      <c r="J15" s="229">
        <f>2+2+1</f>
        <v>5</v>
      </c>
      <c r="K15" s="259">
        <f t="shared" si="2"/>
        <v>16</v>
      </c>
      <c r="L15" s="323">
        <v>7</v>
      </c>
      <c r="M15" s="324">
        <v>8</v>
      </c>
      <c r="N15" s="325">
        <v>0</v>
      </c>
      <c r="O15" s="324">
        <v>1</v>
      </c>
      <c r="P15" s="259">
        <v>0</v>
      </c>
      <c r="Q15" s="228">
        <v>0</v>
      </c>
    </row>
    <row r="16" spans="1:17" s="224" customFormat="1" ht="39.75" customHeight="1">
      <c r="A16" s="225">
        <v>5</v>
      </c>
      <c r="B16" s="121" t="s">
        <v>98</v>
      </c>
      <c r="C16" s="226">
        <f t="shared" si="1"/>
        <v>20</v>
      </c>
      <c r="D16" s="312">
        <f t="shared" si="0"/>
        <v>49</v>
      </c>
      <c r="E16" s="227">
        <f>4+2+2+3</f>
        <v>11</v>
      </c>
      <c r="F16" s="227">
        <f>1+5+9+5</f>
        <v>20</v>
      </c>
      <c r="G16" s="335">
        <v>0</v>
      </c>
      <c r="H16" s="335">
        <v>0</v>
      </c>
      <c r="I16" s="344">
        <f>3+3+1+2</f>
        <v>9</v>
      </c>
      <c r="J16" s="229">
        <f>4+7+11+1+6</f>
        <v>29</v>
      </c>
      <c r="K16" s="259">
        <f t="shared" si="2"/>
        <v>49</v>
      </c>
      <c r="L16" s="323">
        <f>13+2+5</f>
        <v>20</v>
      </c>
      <c r="M16" s="324">
        <f>10+14+4</f>
        <v>28</v>
      </c>
      <c r="N16" s="325">
        <v>0</v>
      </c>
      <c r="O16" s="324">
        <v>1</v>
      </c>
      <c r="P16" s="259">
        <v>0</v>
      </c>
      <c r="Q16" s="228">
        <v>0</v>
      </c>
    </row>
    <row r="17" spans="1:17" s="224" customFormat="1" ht="39.75" customHeight="1">
      <c r="A17" s="225">
        <v>6</v>
      </c>
      <c r="B17" s="120" t="s">
        <v>99</v>
      </c>
      <c r="C17" s="226">
        <f t="shared" si="1"/>
        <v>19</v>
      </c>
      <c r="D17" s="312">
        <f t="shared" si="0"/>
        <v>13</v>
      </c>
      <c r="E17" s="227">
        <f>4+5+5+3</f>
        <v>17</v>
      </c>
      <c r="F17" s="227">
        <f>5+2+3</f>
        <v>10</v>
      </c>
      <c r="G17" s="335">
        <v>1</v>
      </c>
      <c r="H17" s="335">
        <v>1</v>
      </c>
      <c r="I17" s="344">
        <v>1</v>
      </c>
      <c r="J17" s="229">
        <f>1+1</f>
        <v>2</v>
      </c>
      <c r="K17" s="259">
        <f t="shared" si="2"/>
        <v>13</v>
      </c>
      <c r="L17" s="323">
        <v>1</v>
      </c>
      <c r="M17" s="324">
        <f>10+2</f>
        <v>12</v>
      </c>
      <c r="N17" s="325">
        <v>0</v>
      </c>
      <c r="O17" s="324">
        <v>0</v>
      </c>
      <c r="P17" s="259">
        <v>0</v>
      </c>
      <c r="Q17" s="228">
        <v>0</v>
      </c>
    </row>
    <row r="18" spans="1:17" s="224" customFormat="1" ht="57.75" customHeight="1">
      <c r="A18" s="225">
        <v>7</v>
      </c>
      <c r="B18" s="120" t="s">
        <v>100</v>
      </c>
      <c r="C18" s="226">
        <f t="shared" si="1"/>
        <v>58</v>
      </c>
      <c r="D18" s="312">
        <f t="shared" si="0"/>
        <v>49</v>
      </c>
      <c r="E18" s="227">
        <f>6+8+6+11</f>
        <v>31</v>
      </c>
      <c r="F18" s="227">
        <f>1+5+18+4</f>
        <v>28</v>
      </c>
      <c r="G18" s="335">
        <v>2</v>
      </c>
      <c r="H18" s="335">
        <v>2</v>
      </c>
      <c r="I18" s="344">
        <f>3+11+7+4</f>
        <v>25</v>
      </c>
      <c r="J18" s="229">
        <f>1+5+9+4</f>
        <v>19</v>
      </c>
      <c r="K18" s="259">
        <f t="shared" si="2"/>
        <v>49</v>
      </c>
      <c r="L18" s="323">
        <v>5</v>
      </c>
      <c r="M18" s="324">
        <f>8+28+8</f>
        <v>44</v>
      </c>
      <c r="N18" s="325">
        <v>0</v>
      </c>
      <c r="O18" s="324">
        <v>0</v>
      </c>
      <c r="P18" s="259">
        <v>1</v>
      </c>
      <c r="Q18" s="228">
        <v>0</v>
      </c>
    </row>
    <row r="19" spans="1:17" s="224" customFormat="1" ht="39.75" customHeight="1">
      <c r="A19" s="225">
        <v>8</v>
      </c>
      <c r="B19" s="121" t="s">
        <v>101</v>
      </c>
      <c r="C19" s="226">
        <f t="shared" si="1"/>
        <v>95</v>
      </c>
      <c r="D19" s="312">
        <f t="shared" si="0"/>
        <v>53</v>
      </c>
      <c r="E19" s="227">
        <f>3+2+3+3</f>
        <v>11</v>
      </c>
      <c r="F19" s="227">
        <f>2+1+4</f>
        <v>7</v>
      </c>
      <c r="G19" s="335">
        <f>4+1</f>
        <v>5</v>
      </c>
      <c r="H19" s="335">
        <v>0</v>
      </c>
      <c r="I19" s="344">
        <f>16+29+24+10</f>
        <v>79</v>
      </c>
      <c r="J19" s="229">
        <f>13+5+10+18</f>
        <v>46</v>
      </c>
      <c r="K19" s="259">
        <f t="shared" si="2"/>
        <v>53</v>
      </c>
      <c r="L19" s="323">
        <f>19+7+13</f>
        <v>39</v>
      </c>
      <c r="M19" s="324">
        <f>5+9</f>
        <v>14</v>
      </c>
      <c r="N19" s="325">
        <v>0</v>
      </c>
      <c r="O19" s="324">
        <v>0</v>
      </c>
      <c r="P19" s="259">
        <v>1</v>
      </c>
      <c r="Q19" s="228">
        <v>0</v>
      </c>
    </row>
    <row r="20" spans="1:17" s="224" customFormat="1" ht="39.75" customHeight="1">
      <c r="A20" s="225">
        <v>9</v>
      </c>
      <c r="B20" s="120" t="s">
        <v>102</v>
      </c>
      <c r="C20" s="226">
        <f t="shared" si="1"/>
        <v>5</v>
      </c>
      <c r="D20" s="312">
        <f t="shared" si="0"/>
        <v>8</v>
      </c>
      <c r="E20" s="227">
        <f>2+2</f>
        <v>4</v>
      </c>
      <c r="F20" s="227">
        <f>1+1+2+2</f>
        <v>6</v>
      </c>
      <c r="G20" s="335">
        <v>0</v>
      </c>
      <c r="H20" s="335">
        <v>0</v>
      </c>
      <c r="I20" s="344">
        <v>1</v>
      </c>
      <c r="J20" s="229">
        <v>2</v>
      </c>
      <c r="K20" s="259">
        <f t="shared" si="2"/>
        <v>8</v>
      </c>
      <c r="L20" s="323">
        <v>5</v>
      </c>
      <c r="M20" s="324">
        <v>3</v>
      </c>
      <c r="N20" s="325">
        <v>0</v>
      </c>
      <c r="O20" s="324">
        <v>0</v>
      </c>
      <c r="P20" s="259">
        <v>0</v>
      </c>
      <c r="Q20" s="228">
        <v>0</v>
      </c>
    </row>
    <row r="21" spans="1:17" s="224" customFormat="1" ht="39.75" customHeight="1">
      <c r="A21" s="225">
        <v>10</v>
      </c>
      <c r="B21" s="120" t="s">
        <v>103</v>
      </c>
      <c r="C21" s="226">
        <f t="shared" si="1"/>
        <v>28</v>
      </c>
      <c r="D21" s="312">
        <f t="shared" si="0"/>
        <v>19</v>
      </c>
      <c r="E21" s="227">
        <f>7+4+4+2</f>
        <v>17</v>
      </c>
      <c r="F21" s="227">
        <f>7+3+3</f>
        <v>13</v>
      </c>
      <c r="G21" s="335">
        <f>3+2+2</f>
        <v>7</v>
      </c>
      <c r="H21" s="335">
        <v>2</v>
      </c>
      <c r="I21" s="344">
        <f>1+1+2</f>
        <v>4</v>
      </c>
      <c r="J21" s="229">
        <f>2+1+1</f>
        <v>4</v>
      </c>
      <c r="K21" s="259">
        <f t="shared" si="2"/>
        <v>19</v>
      </c>
      <c r="L21" s="323">
        <v>6</v>
      </c>
      <c r="M21" s="324">
        <v>12</v>
      </c>
      <c r="N21" s="325">
        <v>0</v>
      </c>
      <c r="O21" s="324">
        <v>1</v>
      </c>
      <c r="P21" s="259">
        <v>0</v>
      </c>
      <c r="Q21" s="228">
        <v>0</v>
      </c>
    </row>
    <row r="22" spans="1:17" s="224" customFormat="1" ht="39.75" customHeight="1">
      <c r="A22" s="225">
        <v>11</v>
      </c>
      <c r="B22" s="120" t="s">
        <v>104</v>
      </c>
      <c r="C22" s="226">
        <f t="shared" si="1"/>
        <v>622</v>
      </c>
      <c r="D22" s="312">
        <f t="shared" si="0"/>
        <v>685</v>
      </c>
      <c r="E22" s="227">
        <f>11+15+5+9</f>
        <v>40</v>
      </c>
      <c r="F22" s="227">
        <f>20+15+14+6</f>
        <v>55</v>
      </c>
      <c r="G22" s="335">
        <f>178+32+9+4</f>
        <v>223</v>
      </c>
      <c r="H22" s="335">
        <f>1+1+1</f>
        <v>3</v>
      </c>
      <c r="I22" s="344">
        <f>92+104+68+95</f>
        <v>359</v>
      </c>
      <c r="J22" s="229">
        <f>169+175+140+143</f>
        <v>627</v>
      </c>
      <c r="K22" s="259">
        <f t="shared" si="2"/>
        <v>685</v>
      </c>
      <c r="L22" s="323">
        <f>27+24+22+22</f>
        <v>95</v>
      </c>
      <c r="M22" s="324">
        <f>163+167+132+117</f>
        <v>579</v>
      </c>
      <c r="N22" s="325">
        <v>0</v>
      </c>
      <c r="O22" s="324">
        <v>11</v>
      </c>
      <c r="P22" s="259">
        <v>3</v>
      </c>
      <c r="Q22" s="228">
        <v>0</v>
      </c>
    </row>
    <row r="23" spans="1:17" s="224" customFormat="1" ht="39.75" customHeight="1">
      <c r="A23" s="225">
        <v>12</v>
      </c>
      <c r="B23" s="120" t="s">
        <v>105</v>
      </c>
      <c r="C23" s="226">
        <f t="shared" si="1"/>
        <v>226</v>
      </c>
      <c r="D23" s="312">
        <f t="shared" si="0"/>
        <v>177</v>
      </c>
      <c r="E23" s="347">
        <f>17+7+5+14</f>
        <v>43</v>
      </c>
      <c r="F23" s="227">
        <f>20+8+9+13</f>
        <v>50</v>
      </c>
      <c r="G23" s="335">
        <f>22+10+5+6</f>
        <v>43</v>
      </c>
      <c r="H23" s="335">
        <f>13+6+4+2</f>
        <v>25</v>
      </c>
      <c r="I23" s="344">
        <f>44+34+34+28</f>
        <v>140</v>
      </c>
      <c r="J23" s="229">
        <f>25+31+24+22</f>
        <v>102</v>
      </c>
      <c r="K23" s="259">
        <f t="shared" si="2"/>
        <v>177</v>
      </c>
      <c r="L23" s="323">
        <f>35+35+29+20</f>
        <v>119</v>
      </c>
      <c r="M23" s="324">
        <f>33+10+10</f>
        <v>53</v>
      </c>
      <c r="N23" s="325">
        <v>0</v>
      </c>
      <c r="O23" s="324">
        <v>5</v>
      </c>
      <c r="P23" s="259">
        <v>0</v>
      </c>
      <c r="Q23" s="228">
        <v>0</v>
      </c>
    </row>
    <row r="24" spans="1:17" s="224" customFormat="1" ht="39.75" customHeight="1" thickBot="1">
      <c r="A24" s="225">
        <v>13</v>
      </c>
      <c r="B24" s="120" t="s">
        <v>106</v>
      </c>
      <c r="C24" s="230">
        <f t="shared" si="1"/>
        <v>216</v>
      </c>
      <c r="D24" s="313">
        <f t="shared" si="0"/>
        <v>219</v>
      </c>
      <c r="E24" s="347">
        <f>20+21+22+20</f>
        <v>83</v>
      </c>
      <c r="F24" s="265">
        <f>16+16+17+20</f>
        <v>69</v>
      </c>
      <c r="G24" s="336">
        <v>0</v>
      </c>
      <c r="H24" s="336">
        <v>0</v>
      </c>
      <c r="I24" s="345">
        <f>32+51+17+33</f>
        <v>133</v>
      </c>
      <c r="J24" s="264">
        <f>34+60+29+27</f>
        <v>150</v>
      </c>
      <c r="K24" s="261">
        <f t="shared" si="2"/>
        <v>219</v>
      </c>
      <c r="L24" s="326">
        <f>16+24+13+8</f>
        <v>61</v>
      </c>
      <c r="M24" s="327">
        <f>34+52+33+38</f>
        <v>157</v>
      </c>
      <c r="N24" s="328">
        <v>0</v>
      </c>
      <c r="O24" s="327">
        <v>1</v>
      </c>
      <c r="P24" s="260">
        <v>0</v>
      </c>
      <c r="Q24" s="231">
        <v>0</v>
      </c>
    </row>
    <row r="25" spans="1:17" s="224" customFormat="1" ht="39.75" customHeight="1" thickBot="1">
      <c r="A25" s="232"/>
      <c r="B25" s="233" t="s">
        <v>10</v>
      </c>
      <c r="C25" s="234">
        <f>SUM(C12:C24)</f>
        <v>1393</v>
      </c>
      <c r="D25" s="235">
        <f t="shared" si="0"/>
        <v>1372</v>
      </c>
      <c r="E25" s="348">
        <f aca="true" t="shared" si="3" ref="E25:J25">SUM(E12:E24)</f>
        <v>281</v>
      </c>
      <c r="F25" s="262">
        <f>SUM(F12:F24)</f>
        <v>284</v>
      </c>
      <c r="G25" s="236">
        <f t="shared" si="3"/>
        <v>288</v>
      </c>
      <c r="H25" s="236">
        <f t="shared" si="3"/>
        <v>35</v>
      </c>
      <c r="I25" s="237">
        <f t="shared" si="3"/>
        <v>824</v>
      </c>
      <c r="J25" s="263">
        <f t="shared" si="3"/>
        <v>1053</v>
      </c>
      <c r="K25" s="257">
        <f t="shared" si="2"/>
        <v>1372</v>
      </c>
      <c r="L25" s="266">
        <f>SUM(L12:L24)</f>
        <v>404</v>
      </c>
      <c r="M25" s="267">
        <f>SUM(M12:M24)</f>
        <v>948</v>
      </c>
      <c r="N25" s="268">
        <f>SUM(N12:N24)</f>
        <v>0</v>
      </c>
      <c r="O25" s="267">
        <f>SUM(O12:O24)</f>
        <v>20</v>
      </c>
      <c r="P25" s="257">
        <f>SUM(P12:P24)</f>
        <v>5</v>
      </c>
      <c r="Q25" s="237">
        <f>SUM(Q12:Q23)</f>
        <v>0</v>
      </c>
    </row>
    <row r="27" spans="2:3" ht="35.25">
      <c r="B27" s="35"/>
      <c r="C27" s="9"/>
    </row>
    <row r="28" spans="2:16" ht="60" customHeight="1"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</row>
    <row r="29" spans="2:5" ht="35.25">
      <c r="B29" s="9"/>
      <c r="C29" s="9"/>
      <c r="E29" s="86"/>
    </row>
    <row r="30" ht="35.25">
      <c r="B30" s="9"/>
    </row>
    <row r="35" spans="2:3" ht="35.25">
      <c r="B35" s="35"/>
      <c r="C35" s="9"/>
    </row>
    <row r="36" spans="2:7" ht="35.25">
      <c r="B36" s="9"/>
      <c r="C36" s="9"/>
      <c r="F36" s="88"/>
      <c r="G36" s="404"/>
    </row>
    <row r="37" spans="2:7" ht="35.25">
      <c r="B37" s="9"/>
      <c r="C37" s="9"/>
      <c r="F37" s="88"/>
      <c r="G37" s="404"/>
    </row>
    <row r="38" spans="2:7" ht="35.25">
      <c r="B38" s="9"/>
      <c r="F38" s="90"/>
      <c r="G38" s="89"/>
    </row>
    <row r="39" spans="2:7" ht="35.25">
      <c r="B39" s="9"/>
      <c r="F39" s="90"/>
      <c r="G39" s="89"/>
    </row>
    <row r="40" spans="6:7" ht="23.25">
      <c r="F40" s="90"/>
      <c r="G40" s="89"/>
    </row>
    <row r="41" spans="6:7" ht="23.25">
      <c r="F41" s="90"/>
      <c r="G41" s="89"/>
    </row>
  </sheetData>
  <sheetProtection/>
  <mergeCells count="22">
    <mergeCell ref="A2:Q2"/>
    <mergeCell ref="A4:A10"/>
    <mergeCell ref="P3:Q3"/>
    <mergeCell ref="G3:I3"/>
    <mergeCell ref="G6:H9"/>
    <mergeCell ref="O7:O10"/>
    <mergeCell ref="G36:G37"/>
    <mergeCell ref="E4:Q4"/>
    <mergeCell ref="L6:O6"/>
    <mergeCell ref="I6:J9"/>
    <mergeCell ref="M7:M10"/>
    <mergeCell ref="B4:B10"/>
    <mergeCell ref="P6:P10"/>
    <mergeCell ref="K6:K10"/>
    <mergeCell ref="N7:N10"/>
    <mergeCell ref="Q6:Q10"/>
    <mergeCell ref="E5:J5"/>
    <mergeCell ref="K5:Q5"/>
    <mergeCell ref="L7:L10"/>
    <mergeCell ref="C4:D9"/>
    <mergeCell ref="E6:F9"/>
    <mergeCell ref="B28:P28"/>
  </mergeCells>
  <printOptions horizontalCentered="1" verticalCentered="1"/>
  <pageMargins left="0.03937007874015748" right="0.03937007874015748" top="0.03937007874015748" bottom="0.03937007874015748" header="0.07874015748031496" footer="0.0787401574803149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33"/>
  <sheetViews>
    <sheetView view="pageBreakPreview" zoomScale="55" zoomScaleNormal="40" zoomScaleSheetLayoutView="55" workbookViewId="0" topLeftCell="B9">
      <selection activeCell="Q27" sqref="Q27:T27"/>
    </sheetView>
  </sheetViews>
  <sheetFormatPr defaultColWidth="9.140625" defaultRowHeight="12.75"/>
  <cols>
    <col min="1" max="1" width="9.140625" style="3" customWidth="1"/>
    <col min="2" max="2" width="7.7109375" style="3" customWidth="1"/>
    <col min="3" max="3" width="32.421875" style="3" customWidth="1"/>
    <col min="4" max="4" width="12.7109375" style="3" customWidth="1"/>
    <col min="5" max="5" width="13.140625" style="3" customWidth="1"/>
    <col min="6" max="7" width="11.28125" style="3" customWidth="1"/>
    <col min="8" max="8" width="11.57421875" style="3" customWidth="1"/>
    <col min="9" max="9" width="11.421875" style="3" customWidth="1"/>
    <col min="10" max="10" width="15.8515625" style="3" customWidth="1"/>
    <col min="11" max="11" width="20.140625" style="3" customWidth="1"/>
    <col min="12" max="12" width="14.7109375" style="3" customWidth="1"/>
    <col min="13" max="13" width="14.28125" style="3" customWidth="1"/>
    <col min="14" max="15" width="12.7109375" style="3" customWidth="1"/>
    <col min="16" max="16" width="14.00390625" style="3" customWidth="1"/>
    <col min="17" max="17" width="11.8515625" style="3" customWidth="1"/>
    <col min="18" max="18" width="12.28125" style="3" customWidth="1"/>
    <col min="19" max="19" width="15.57421875" style="3" customWidth="1"/>
    <col min="20" max="20" width="10.7109375" style="3" customWidth="1"/>
    <col min="21" max="21" width="11.28125" style="3" customWidth="1"/>
    <col min="22" max="22" width="11.7109375" style="3" customWidth="1"/>
    <col min="23" max="23" width="11.28125" style="3" customWidth="1"/>
    <col min="24" max="24" width="12.28125" style="3" customWidth="1"/>
    <col min="25" max="25" width="9.140625" style="3" customWidth="1"/>
    <col min="26" max="26" width="0.71875" style="3" customWidth="1"/>
    <col min="27" max="16384" width="9.140625" style="3" customWidth="1"/>
  </cols>
  <sheetData>
    <row r="1" spans="23:24" ht="30">
      <c r="W1" s="420"/>
      <c r="X1" s="420"/>
    </row>
    <row r="2" spans="23:24" ht="30.75">
      <c r="W2" s="419" t="s">
        <v>2</v>
      </c>
      <c r="X2" s="419"/>
    </row>
    <row r="3" spans="2:24" ht="69" customHeight="1">
      <c r="B3" s="410" t="s">
        <v>115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</row>
    <row r="4" spans="2:24" ht="33" customHeight="1"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</row>
    <row r="5" spans="2:24" ht="33" customHeight="1" thickBot="1">
      <c r="B5" s="4"/>
      <c r="C5" s="4"/>
      <c r="D5" s="4"/>
      <c r="E5" s="4"/>
      <c r="F5" s="4"/>
      <c r="G5" s="4"/>
      <c r="H5" s="4"/>
      <c r="I5" s="4"/>
      <c r="J5" s="4"/>
      <c r="K5" s="414"/>
      <c r="L5" s="414"/>
      <c r="M5" s="414"/>
      <c r="N5" s="4"/>
      <c r="O5" s="4"/>
      <c r="P5" s="4"/>
      <c r="Q5" s="4"/>
      <c r="R5" s="447"/>
      <c r="S5" s="447"/>
      <c r="T5" s="447"/>
      <c r="U5" s="447"/>
      <c r="V5" s="447"/>
      <c r="W5" s="447"/>
      <c r="X5" s="447"/>
    </row>
    <row r="6" spans="2:24" ht="36" customHeight="1" thickBot="1">
      <c r="B6" s="411" t="s">
        <v>0</v>
      </c>
      <c r="C6" s="397" t="s">
        <v>19</v>
      </c>
      <c r="D6" s="379" t="s">
        <v>3</v>
      </c>
      <c r="E6" s="380"/>
      <c r="F6" s="374" t="s">
        <v>4</v>
      </c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4"/>
    </row>
    <row r="7" spans="2:24" ht="60" customHeight="1" thickBot="1">
      <c r="B7" s="412"/>
      <c r="C7" s="399"/>
      <c r="D7" s="370"/>
      <c r="E7" s="381"/>
      <c r="F7" s="441" t="s">
        <v>6</v>
      </c>
      <c r="G7" s="442"/>
      <c r="H7" s="442"/>
      <c r="I7" s="443"/>
      <c r="J7" s="374" t="s">
        <v>121</v>
      </c>
      <c r="K7" s="433"/>
      <c r="L7" s="433"/>
      <c r="M7" s="433"/>
      <c r="N7" s="433"/>
      <c r="O7" s="433"/>
      <c r="P7" s="433"/>
      <c r="Q7" s="433"/>
      <c r="R7" s="433"/>
      <c r="S7" s="433"/>
      <c r="T7" s="434"/>
      <c r="U7" s="379" t="s">
        <v>36</v>
      </c>
      <c r="V7" s="380"/>
      <c r="W7" s="379" t="s">
        <v>59</v>
      </c>
      <c r="X7" s="380"/>
    </row>
    <row r="8" spans="2:24" ht="36" customHeight="1" thickBot="1">
      <c r="B8" s="412"/>
      <c r="C8" s="399"/>
      <c r="D8" s="370"/>
      <c r="E8" s="381"/>
      <c r="F8" s="379" t="s">
        <v>35</v>
      </c>
      <c r="G8" s="439"/>
      <c r="H8" s="379" t="s">
        <v>7</v>
      </c>
      <c r="I8" s="439"/>
      <c r="J8" s="421" t="s">
        <v>15</v>
      </c>
      <c r="K8" s="421" t="s">
        <v>72</v>
      </c>
      <c r="L8" s="374" t="s">
        <v>11</v>
      </c>
      <c r="M8" s="433"/>
      <c r="N8" s="433"/>
      <c r="O8" s="433"/>
      <c r="P8" s="434"/>
      <c r="Q8" s="426" t="s">
        <v>52</v>
      </c>
      <c r="R8" s="429" t="s">
        <v>53</v>
      </c>
      <c r="S8" s="431" t="s">
        <v>54</v>
      </c>
      <c r="T8" s="437" t="s">
        <v>39</v>
      </c>
      <c r="U8" s="370"/>
      <c r="V8" s="381"/>
      <c r="W8" s="370"/>
      <c r="X8" s="381"/>
    </row>
    <row r="9" spans="2:24" ht="36" customHeight="1" thickBot="1">
      <c r="B9" s="412"/>
      <c r="C9" s="399"/>
      <c r="D9" s="382"/>
      <c r="E9" s="383"/>
      <c r="F9" s="382"/>
      <c r="G9" s="440"/>
      <c r="H9" s="382"/>
      <c r="I9" s="440"/>
      <c r="J9" s="422"/>
      <c r="K9" s="422"/>
      <c r="L9" s="421" t="s">
        <v>10</v>
      </c>
      <c r="M9" s="444" t="s">
        <v>60</v>
      </c>
      <c r="N9" s="445"/>
      <c r="O9" s="435" t="s">
        <v>51</v>
      </c>
      <c r="P9" s="435" t="s">
        <v>69</v>
      </c>
      <c r="Q9" s="427"/>
      <c r="R9" s="430"/>
      <c r="S9" s="432"/>
      <c r="T9" s="438"/>
      <c r="U9" s="382"/>
      <c r="V9" s="383"/>
      <c r="W9" s="382"/>
      <c r="X9" s="383"/>
    </row>
    <row r="10" spans="2:24" ht="89.25" customHeight="1" thickBot="1">
      <c r="B10" s="412"/>
      <c r="C10" s="399"/>
      <c r="D10" s="114" t="s">
        <v>110</v>
      </c>
      <c r="E10" s="113" t="s">
        <v>112</v>
      </c>
      <c r="F10" s="114" t="s">
        <v>110</v>
      </c>
      <c r="G10" s="113" t="s">
        <v>112</v>
      </c>
      <c r="H10" s="114" t="s">
        <v>110</v>
      </c>
      <c r="I10" s="113" t="s">
        <v>112</v>
      </c>
      <c r="J10" s="423"/>
      <c r="K10" s="423"/>
      <c r="L10" s="423"/>
      <c r="M10" s="44" t="s">
        <v>50</v>
      </c>
      <c r="N10" s="31" t="s">
        <v>49</v>
      </c>
      <c r="O10" s="436"/>
      <c r="P10" s="436"/>
      <c r="Q10" s="428"/>
      <c r="R10" s="430"/>
      <c r="S10" s="432"/>
      <c r="T10" s="438"/>
      <c r="U10" s="114" t="s">
        <v>110</v>
      </c>
      <c r="V10" s="113" t="s">
        <v>112</v>
      </c>
      <c r="W10" s="114" t="s">
        <v>110</v>
      </c>
      <c r="X10" s="113" t="s">
        <v>112</v>
      </c>
    </row>
    <row r="11" spans="2:24" ht="29.25" customHeight="1" thickBot="1">
      <c r="B11" s="29">
        <v>1</v>
      </c>
      <c r="C11" s="30">
        <v>2</v>
      </c>
      <c r="D11" s="138">
        <v>3</v>
      </c>
      <c r="E11" s="139">
        <v>4</v>
      </c>
      <c r="F11" s="138">
        <v>5</v>
      </c>
      <c r="G11" s="139">
        <v>6</v>
      </c>
      <c r="H11" s="138">
        <v>7</v>
      </c>
      <c r="I11" s="142">
        <v>8</v>
      </c>
      <c r="J11" s="30">
        <v>9</v>
      </c>
      <c r="K11" s="30">
        <v>10</v>
      </c>
      <c r="L11" s="30">
        <v>11</v>
      </c>
      <c r="M11" s="40">
        <v>12</v>
      </c>
      <c r="N11" s="28">
        <v>13</v>
      </c>
      <c r="O11" s="30">
        <v>14</v>
      </c>
      <c r="P11" s="117">
        <v>15</v>
      </c>
      <c r="Q11" s="206">
        <v>16</v>
      </c>
      <c r="R11" s="30">
        <v>17</v>
      </c>
      <c r="S11" s="30">
        <v>18</v>
      </c>
      <c r="T11" s="206">
        <v>19</v>
      </c>
      <c r="U11" s="241">
        <v>20</v>
      </c>
      <c r="V11" s="255">
        <v>21</v>
      </c>
      <c r="W11" s="241">
        <v>22</v>
      </c>
      <c r="X11" s="255">
        <v>23</v>
      </c>
    </row>
    <row r="12" spans="2:24" s="1" customFormat="1" ht="58.5" customHeight="1">
      <c r="B12" s="18">
        <v>1</v>
      </c>
      <c r="C12" s="32" t="s">
        <v>20</v>
      </c>
      <c r="D12" s="199">
        <f>F12+H12</f>
        <v>63</v>
      </c>
      <c r="E12" s="200">
        <f>SUM(J12:L12)</f>
        <v>84</v>
      </c>
      <c r="F12" s="135">
        <f>5!E12</f>
        <v>55</v>
      </c>
      <c r="G12" s="161">
        <f>5!F12</f>
        <v>82</v>
      </c>
      <c r="H12" s="140">
        <f>5!M12</f>
        <v>8</v>
      </c>
      <c r="I12" s="170">
        <f>5!N12</f>
        <v>2</v>
      </c>
      <c r="J12" s="143">
        <f>1+4+10+7</f>
        <v>22</v>
      </c>
      <c r="K12" s="164">
        <v>0</v>
      </c>
      <c r="L12" s="151">
        <f>SUM(M12:P12)</f>
        <v>62</v>
      </c>
      <c r="M12" s="152">
        <v>1</v>
      </c>
      <c r="N12" s="152">
        <v>9</v>
      </c>
      <c r="O12" s="153">
        <v>3</v>
      </c>
      <c r="P12" s="205">
        <f>3+19+23+4</f>
        <v>49</v>
      </c>
      <c r="Q12" s="154">
        <f>E12-(R12+S12+T12)</f>
        <v>40</v>
      </c>
      <c r="R12" s="279">
        <f>3+25+11+3</f>
        <v>42</v>
      </c>
      <c r="S12" s="316">
        <v>0</v>
      </c>
      <c r="T12" s="276">
        <v>2</v>
      </c>
      <c r="U12" s="332">
        <v>1</v>
      </c>
      <c r="V12" s="149">
        <v>2</v>
      </c>
      <c r="W12" s="149">
        <v>1</v>
      </c>
      <c r="X12" s="149">
        <v>1</v>
      </c>
    </row>
    <row r="13" spans="2:24" s="1" customFormat="1" ht="46.5" customHeight="1">
      <c r="B13" s="17">
        <v>2</v>
      </c>
      <c r="C13" s="8" t="s">
        <v>21</v>
      </c>
      <c r="D13" s="201">
        <f aca="true" t="shared" si="0" ref="D13:D27">F13+H13</f>
        <v>81</v>
      </c>
      <c r="E13" s="202">
        <f aca="true" t="shared" si="1" ref="E13:E27">SUM(J13:L13)</f>
        <v>78</v>
      </c>
      <c r="F13" s="136">
        <f>5!E13</f>
        <v>75</v>
      </c>
      <c r="G13" s="162">
        <f>5!F13</f>
        <v>73</v>
      </c>
      <c r="H13" s="141">
        <f>5!M13</f>
        <v>6</v>
      </c>
      <c r="I13" s="155">
        <f>5!N13</f>
        <v>5</v>
      </c>
      <c r="J13" s="165">
        <f>4+1+3</f>
        <v>8</v>
      </c>
      <c r="K13" s="166">
        <v>0</v>
      </c>
      <c r="L13" s="151">
        <f aca="true" t="shared" si="2" ref="L13:L26">SUM(M13:P13)</f>
        <v>70</v>
      </c>
      <c r="M13" s="152">
        <v>1</v>
      </c>
      <c r="N13" s="152">
        <v>7</v>
      </c>
      <c r="O13" s="153">
        <v>0</v>
      </c>
      <c r="P13" s="153">
        <f>14+18+14+16</f>
        <v>62</v>
      </c>
      <c r="Q13" s="207">
        <f aca="true" t="shared" si="3" ref="Q13:Q26">E13-(R13+S13+T13)</f>
        <v>10</v>
      </c>
      <c r="R13" s="273">
        <f>14+22+15+12</f>
        <v>63</v>
      </c>
      <c r="S13" s="317">
        <v>3</v>
      </c>
      <c r="T13" s="277">
        <v>2</v>
      </c>
      <c r="U13" s="333">
        <v>2</v>
      </c>
      <c r="V13" s="150">
        <v>0</v>
      </c>
      <c r="W13" s="150">
        <v>1</v>
      </c>
      <c r="X13" s="150">
        <v>1</v>
      </c>
    </row>
    <row r="14" spans="2:24" s="1" customFormat="1" ht="46.5" customHeight="1">
      <c r="B14" s="17">
        <v>3</v>
      </c>
      <c r="C14" s="8" t="s">
        <v>22</v>
      </c>
      <c r="D14" s="201">
        <f t="shared" si="0"/>
        <v>77</v>
      </c>
      <c r="E14" s="202">
        <f t="shared" si="1"/>
        <v>36</v>
      </c>
      <c r="F14" s="136">
        <f>5!E14</f>
        <v>69</v>
      </c>
      <c r="G14" s="162">
        <f>5!F14</f>
        <v>32</v>
      </c>
      <c r="H14" s="141">
        <f>5!M14</f>
        <v>8</v>
      </c>
      <c r="I14" s="155">
        <f>5!N14</f>
        <v>4</v>
      </c>
      <c r="J14" s="165">
        <f>1+1+3+1</f>
        <v>6</v>
      </c>
      <c r="K14" s="166">
        <v>0</v>
      </c>
      <c r="L14" s="151">
        <f t="shared" si="2"/>
        <v>30</v>
      </c>
      <c r="M14" s="152">
        <v>3</v>
      </c>
      <c r="N14" s="152">
        <v>10</v>
      </c>
      <c r="O14" s="153">
        <v>1</v>
      </c>
      <c r="P14" s="153">
        <f>8+4+2+2</f>
        <v>16</v>
      </c>
      <c r="Q14" s="207">
        <f t="shared" si="3"/>
        <v>16</v>
      </c>
      <c r="R14" s="273">
        <f>7+4+6+2</f>
        <v>19</v>
      </c>
      <c r="S14" s="317">
        <v>1</v>
      </c>
      <c r="T14" s="277">
        <v>0</v>
      </c>
      <c r="U14" s="333">
        <v>0</v>
      </c>
      <c r="V14" s="150">
        <v>1</v>
      </c>
      <c r="W14" s="150">
        <v>1</v>
      </c>
      <c r="X14" s="150">
        <v>1</v>
      </c>
    </row>
    <row r="15" spans="2:24" s="1" customFormat="1" ht="46.5" customHeight="1">
      <c r="B15" s="17">
        <v>4</v>
      </c>
      <c r="C15" s="8" t="s">
        <v>23</v>
      </c>
      <c r="D15" s="201">
        <f t="shared" si="0"/>
        <v>58</v>
      </c>
      <c r="E15" s="202">
        <f t="shared" si="1"/>
        <v>67</v>
      </c>
      <c r="F15" s="136">
        <f>5!E15</f>
        <v>56</v>
      </c>
      <c r="G15" s="162">
        <f>5!F15</f>
        <v>65</v>
      </c>
      <c r="H15" s="141">
        <f>5!M15</f>
        <v>2</v>
      </c>
      <c r="I15" s="155">
        <f>5!N15</f>
        <v>2</v>
      </c>
      <c r="J15" s="165">
        <f>3+2+4+4</f>
        <v>13</v>
      </c>
      <c r="K15" s="166">
        <v>0</v>
      </c>
      <c r="L15" s="151">
        <f t="shared" si="2"/>
        <v>54</v>
      </c>
      <c r="M15" s="152">
        <v>1</v>
      </c>
      <c r="N15" s="152">
        <v>14</v>
      </c>
      <c r="O15" s="153">
        <v>0</v>
      </c>
      <c r="P15" s="153">
        <f>11+9+6+13</f>
        <v>39</v>
      </c>
      <c r="Q15" s="207">
        <f t="shared" si="3"/>
        <v>28</v>
      </c>
      <c r="R15" s="273">
        <f>11+9+6+13</f>
        <v>39</v>
      </c>
      <c r="S15" s="317">
        <v>0</v>
      </c>
      <c r="T15" s="277">
        <v>0</v>
      </c>
      <c r="U15" s="333">
        <v>0</v>
      </c>
      <c r="V15" s="150">
        <v>0</v>
      </c>
      <c r="W15" s="150">
        <v>0</v>
      </c>
      <c r="X15" s="150">
        <v>1</v>
      </c>
    </row>
    <row r="16" spans="2:24" s="1" customFormat="1" ht="46.5" customHeight="1">
      <c r="B16" s="17">
        <v>5</v>
      </c>
      <c r="C16" s="8" t="s">
        <v>24</v>
      </c>
      <c r="D16" s="201">
        <f t="shared" si="0"/>
        <v>117</v>
      </c>
      <c r="E16" s="202">
        <f t="shared" si="1"/>
        <v>219</v>
      </c>
      <c r="F16" s="136">
        <f>5!E16</f>
        <v>112</v>
      </c>
      <c r="G16" s="162">
        <f>5!F16</f>
        <v>211</v>
      </c>
      <c r="H16" s="141">
        <f>5!M16</f>
        <v>5</v>
      </c>
      <c r="I16" s="155">
        <f>5!N16</f>
        <v>8</v>
      </c>
      <c r="J16" s="165">
        <f>16+6+11+7</f>
        <v>40</v>
      </c>
      <c r="K16" s="166">
        <v>1</v>
      </c>
      <c r="L16" s="151">
        <f t="shared" si="2"/>
        <v>178</v>
      </c>
      <c r="M16" s="152">
        <v>3</v>
      </c>
      <c r="N16" s="152">
        <v>7</v>
      </c>
      <c r="O16" s="153">
        <v>0</v>
      </c>
      <c r="P16" s="153">
        <f>67+43+30+28</f>
        <v>168</v>
      </c>
      <c r="Q16" s="207">
        <f t="shared" si="3"/>
        <v>40</v>
      </c>
      <c r="R16" s="273">
        <f>67+46+35+25</f>
        <v>173</v>
      </c>
      <c r="S16" s="317">
        <v>1</v>
      </c>
      <c r="T16" s="277">
        <v>5</v>
      </c>
      <c r="U16" s="333">
        <v>0</v>
      </c>
      <c r="V16" s="150">
        <v>5</v>
      </c>
      <c r="W16" s="150">
        <v>1</v>
      </c>
      <c r="X16" s="150">
        <v>1</v>
      </c>
    </row>
    <row r="17" spans="2:28" s="1" customFormat="1" ht="46.5" customHeight="1">
      <c r="B17" s="17">
        <v>6</v>
      </c>
      <c r="C17" s="8" t="s">
        <v>25</v>
      </c>
      <c r="D17" s="201">
        <f t="shared" si="0"/>
        <v>32</v>
      </c>
      <c r="E17" s="202">
        <f t="shared" si="1"/>
        <v>35</v>
      </c>
      <c r="F17" s="136">
        <f>5!E17</f>
        <v>30</v>
      </c>
      <c r="G17" s="162">
        <f>5!F17</f>
        <v>32</v>
      </c>
      <c r="H17" s="141">
        <f>5!M17</f>
        <v>2</v>
      </c>
      <c r="I17" s="155">
        <f>5!N17</f>
        <v>3</v>
      </c>
      <c r="J17" s="165">
        <f>1+3+1+2</f>
        <v>7</v>
      </c>
      <c r="K17" s="166">
        <v>1</v>
      </c>
      <c r="L17" s="151">
        <f t="shared" si="2"/>
        <v>27</v>
      </c>
      <c r="M17" s="152">
        <v>2</v>
      </c>
      <c r="N17" s="152">
        <v>8</v>
      </c>
      <c r="O17" s="153">
        <v>0</v>
      </c>
      <c r="P17" s="153">
        <f>5+4+4+4</f>
        <v>17</v>
      </c>
      <c r="Q17" s="207">
        <f t="shared" si="3"/>
        <v>19</v>
      </c>
      <c r="R17" s="273">
        <f>4+4+4+3</f>
        <v>15</v>
      </c>
      <c r="S17" s="317">
        <v>1</v>
      </c>
      <c r="T17" s="277">
        <v>0</v>
      </c>
      <c r="U17" s="333">
        <v>1</v>
      </c>
      <c r="V17" s="150">
        <v>0</v>
      </c>
      <c r="W17" s="150">
        <v>1</v>
      </c>
      <c r="X17" s="150">
        <v>1</v>
      </c>
      <c r="AB17" s="52"/>
    </row>
    <row r="18" spans="2:24" s="1" customFormat="1" ht="46.5" customHeight="1">
      <c r="B18" s="17">
        <v>7</v>
      </c>
      <c r="C18" s="8" t="s">
        <v>26</v>
      </c>
      <c r="D18" s="201">
        <f t="shared" si="0"/>
        <v>66</v>
      </c>
      <c r="E18" s="202">
        <f t="shared" si="1"/>
        <v>42</v>
      </c>
      <c r="F18" s="136">
        <f>5!E18</f>
        <v>56</v>
      </c>
      <c r="G18" s="162">
        <f>5!F18</f>
        <v>41</v>
      </c>
      <c r="H18" s="141">
        <f>5!M18</f>
        <v>10</v>
      </c>
      <c r="I18" s="155">
        <f>5!N18</f>
        <v>1</v>
      </c>
      <c r="J18" s="165">
        <f>3+2+1+2</f>
        <v>8</v>
      </c>
      <c r="K18" s="166">
        <v>0</v>
      </c>
      <c r="L18" s="151">
        <f t="shared" si="2"/>
        <v>34</v>
      </c>
      <c r="M18" s="152">
        <v>0</v>
      </c>
      <c r="N18" s="152">
        <v>6</v>
      </c>
      <c r="O18" s="153">
        <v>0</v>
      </c>
      <c r="P18" s="153">
        <f>10+5+4+9</f>
        <v>28</v>
      </c>
      <c r="Q18" s="207">
        <f t="shared" si="3"/>
        <v>13</v>
      </c>
      <c r="R18" s="273">
        <f>8+5+3+9</f>
        <v>25</v>
      </c>
      <c r="S18" s="317">
        <v>4</v>
      </c>
      <c r="T18" s="277">
        <v>0</v>
      </c>
      <c r="U18" s="333">
        <v>0</v>
      </c>
      <c r="V18" s="150">
        <v>1</v>
      </c>
      <c r="W18" s="150">
        <v>0</v>
      </c>
      <c r="X18" s="150">
        <v>1</v>
      </c>
    </row>
    <row r="19" spans="2:24" s="1" customFormat="1" ht="46.5" customHeight="1">
      <c r="B19" s="17">
        <v>8</v>
      </c>
      <c r="C19" s="8" t="s">
        <v>27</v>
      </c>
      <c r="D19" s="201">
        <f t="shared" si="0"/>
        <v>124</v>
      </c>
      <c r="E19" s="202">
        <f t="shared" si="1"/>
        <v>111</v>
      </c>
      <c r="F19" s="136">
        <f>5!E19</f>
        <v>100</v>
      </c>
      <c r="G19" s="162">
        <f>5!F19</f>
        <v>109</v>
      </c>
      <c r="H19" s="141">
        <f>5!M19</f>
        <v>24</v>
      </c>
      <c r="I19" s="155">
        <f>5!N19</f>
        <v>2</v>
      </c>
      <c r="J19" s="165">
        <f>2+5+6+3</f>
        <v>16</v>
      </c>
      <c r="K19" s="166">
        <v>0</v>
      </c>
      <c r="L19" s="151">
        <f t="shared" si="2"/>
        <v>95</v>
      </c>
      <c r="M19" s="152">
        <v>1</v>
      </c>
      <c r="N19" s="152">
        <v>6</v>
      </c>
      <c r="O19" s="153">
        <v>1</v>
      </c>
      <c r="P19" s="153">
        <f>22+17+22+26</f>
        <v>87</v>
      </c>
      <c r="Q19" s="207">
        <f t="shared" si="3"/>
        <v>12</v>
      </c>
      <c r="R19" s="273">
        <f>28+21+23+20</f>
        <v>92</v>
      </c>
      <c r="S19" s="317">
        <v>6</v>
      </c>
      <c r="T19" s="277">
        <v>1</v>
      </c>
      <c r="U19" s="333">
        <v>1</v>
      </c>
      <c r="V19" s="150">
        <v>1</v>
      </c>
      <c r="W19" s="150">
        <v>1</v>
      </c>
      <c r="X19" s="150">
        <v>1</v>
      </c>
    </row>
    <row r="20" spans="2:24" s="1" customFormat="1" ht="46.5" customHeight="1">
      <c r="B20" s="17">
        <v>9</v>
      </c>
      <c r="C20" s="8" t="s">
        <v>28</v>
      </c>
      <c r="D20" s="201">
        <f t="shared" si="0"/>
        <v>34</v>
      </c>
      <c r="E20" s="202">
        <f t="shared" si="1"/>
        <v>24</v>
      </c>
      <c r="F20" s="136">
        <f>5!E20</f>
        <v>34</v>
      </c>
      <c r="G20" s="162">
        <f>5!F20</f>
        <v>21</v>
      </c>
      <c r="H20" s="141">
        <f>5!M20</f>
        <v>0</v>
      </c>
      <c r="I20" s="155">
        <f>5!N20</f>
        <v>3</v>
      </c>
      <c r="J20" s="165">
        <f>3+2+1+1</f>
        <v>7</v>
      </c>
      <c r="K20" s="166">
        <v>2</v>
      </c>
      <c r="L20" s="151">
        <f t="shared" si="2"/>
        <v>15</v>
      </c>
      <c r="M20" s="152">
        <v>0</v>
      </c>
      <c r="N20" s="152">
        <v>7</v>
      </c>
      <c r="O20" s="153">
        <v>0</v>
      </c>
      <c r="P20" s="153">
        <f>3+2+3</f>
        <v>8</v>
      </c>
      <c r="Q20" s="207">
        <f t="shared" si="3"/>
        <v>15</v>
      </c>
      <c r="R20" s="273">
        <v>8</v>
      </c>
      <c r="S20" s="317">
        <v>1</v>
      </c>
      <c r="T20" s="277">
        <v>0</v>
      </c>
      <c r="U20" s="333">
        <v>0</v>
      </c>
      <c r="V20" s="150">
        <v>1</v>
      </c>
      <c r="W20" s="150">
        <v>1</v>
      </c>
      <c r="X20" s="150">
        <v>1</v>
      </c>
    </row>
    <row r="21" spans="2:24" s="1" customFormat="1" ht="46.5" customHeight="1">
      <c r="B21" s="17">
        <v>10</v>
      </c>
      <c r="C21" s="8" t="s">
        <v>29</v>
      </c>
      <c r="D21" s="201">
        <f t="shared" si="0"/>
        <v>106</v>
      </c>
      <c r="E21" s="202">
        <f t="shared" si="1"/>
        <v>86</v>
      </c>
      <c r="F21" s="136">
        <f>5!E21</f>
        <v>98</v>
      </c>
      <c r="G21" s="162">
        <f>5!F21</f>
        <v>73</v>
      </c>
      <c r="H21" s="141">
        <f>5!M21</f>
        <v>8</v>
      </c>
      <c r="I21" s="155">
        <f>5!N21</f>
        <v>13</v>
      </c>
      <c r="J21" s="165">
        <f>6+3+2+4</f>
        <v>15</v>
      </c>
      <c r="K21" s="166">
        <v>0</v>
      </c>
      <c r="L21" s="151">
        <f t="shared" si="2"/>
        <v>71</v>
      </c>
      <c r="M21" s="152">
        <v>3</v>
      </c>
      <c r="N21" s="152">
        <v>18</v>
      </c>
      <c r="O21" s="153">
        <v>2</v>
      </c>
      <c r="P21" s="153">
        <f>6+17+14+11</f>
        <v>48</v>
      </c>
      <c r="Q21" s="207">
        <f t="shared" si="3"/>
        <v>37</v>
      </c>
      <c r="R21" s="273">
        <f>6+19+14+10</f>
        <v>49</v>
      </c>
      <c r="S21" s="317">
        <v>0</v>
      </c>
      <c r="T21" s="277">
        <v>0</v>
      </c>
      <c r="U21" s="333">
        <v>1</v>
      </c>
      <c r="V21" s="150">
        <v>1</v>
      </c>
      <c r="W21" s="150">
        <v>1</v>
      </c>
      <c r="X21" s="150">
        <v>1</v>
      </c>
    </row>
    <row r="22" spans="2:24" s="1" customFormat="1" ht="46.5" customHeight="1">
      <c r="B22" s="17">
        <v>11</v>
      </c>
      <c r="C22" s="8" t="s">
        <v>30</v>
      </c>
      <c r="D22" s="201">
        <f t="shared" si="0"/>
        <v>178</v>
      </c>
      <c r="E22" s="202">
        <f t="shared" si="1"/>
        <v>136</v>
      </c>
      <c r="F22" s="136">
        <f>5!E22</f>
        <v>175</v>
      </c>
      <c r="G22" s="162">
        <f>5!F22</f>
        <v>130</v>
      </c>
      <c r="H22" s="141">
        <f>5!M22</f>
        <v>3</v>
      </c>
      <c r="I22" s="155">
        <f>5!N22</f>
        <v>6</v>
      </c>
      <c r="J22" s="165">
        <f>8+7+5+10</f>
        <v>30</v>
      </c>
      <c r="K22" s="166">
        <f>11+7+5+3</f>
        <v>26</v>
      </c>
      <c r="L22" s="151">
        <f t="shared" si="2"/>
        <v>80</v>
      </c>
      <c r="M22" s="152">
        <v>0</v>
      </c>
      <c r="N22" s="152">
        <v>10</v>
      </c>
      <c r="O22" s="153">
        <v>1</v>
      </c>
      <c r="P22" s="153">
        <f>16+20+12+21</f>
        <v>69</v>
      </c>
      <c r="Q22" s="207">
        <f t="shared" si="3"/>
        <v>64</v>
      </c>
      <c r="R22" s="273">
        <f>16+18+14+17</f>
        <v>65</v>
      </c>
      <c r="S22" s="317">
        <v>1</v>
      </c>
      <c r="T22" s="277">
        <v>6</v>
      </c>
      <c r="U22" s="333">
        <v>0</v>
      </c>
      <c r="V22" s="150">
        <v>1</v>
      </c>
      <c r="W22" s="150">
        <v>1</v>
      </c>
      <c r="X22" s="150">
        <v>1</v>
      </c>
    </row>
    <row r="23" spans="2:24" s="1" customFormat="1" ht="46.5" customHeight="1">
      <c r="B23" s="17">
        <v>12</v>
      </c>
      <c r="C23" s="8" t="s">
        <v>31</v>
      </c>
      <c r="D23" s="201">
        <f t="shared" si="0"/>
        <v>86</v>
      </c>
      <c r="E23" s="202">
        <f t="shared" si="1"/>
        <v>97</v>
      </c>
      <c r="F23" s="136">
        <f>5!E23</f>
        <v>84</v>
      </c>
      <c r="G23" s="162">
        <f>5!F23</f>
        <v>91</v>
      </c>
      <c r="H23" s="141">
        <f>5!M23</f>
        <v>2</v>
      </c>
      <c r="I23" s="155">
        <f>5!N23</f>
        <v>6</v>
      </c>
      <c r="J23" s="165">
        <f>9+5+1+1</f>
        <v>16</v>
      </c>
      <c r="K23" s="166">
        <v>0</v>
      </c>
      <c r="L23" s="151">
        <f t="shared" si="2"/>
        <v>81</v>
      </c>
      <c r="M23" s="152">
        <v>1</v>
      </c>
      <c r="N23" s="152">
        <v>14</v>
      </c>
      <c r="O23" s="153">
        <v>1</v>
      </c>
      <c r="P23" s="153">
        <f>12+20+11+22</f>
        <v>65</v>
      </c>
      <c r="Q23" s="207">
        <f t="shared" si="3"/>
        <v>26</v>
      </c>
      <c r="R23" s="273">
        <f>12+22+15+21</f>
        <v>70</v>
      </c>
      <c r="S23" s="317">
        <v>1</v>
      </c>
      <c r="T23" s="277">
        <v>0</v>
      </c>
      <c r="U23" s="333">
        <v>1</v>
      </c>
      <c r="V23" s="150">
        <v>3</v>
      </c>
      <c r="W23" s="150">
        <v>1</v>
      </c>
      <c r="X23" s="150">
        <v>1</v>
      </c>
    </row>
    <row r="24" spans="2:24" s="1" customFormat="1" ht="46.5" customHeight="1">
      <c r="B24" s="17">
        <v>13</v>
      </c>
      <c r="C24" s="8" t="s">
        <v>32</v>
      </c>
      <c r="D24" s="201">
        <f t="shared" si="0"/>
        <v>60</v>
      </c>
      <c r="E24" s="202">
        <f t="shared" si="1"/>
        <v>39</v>
      </c>
      <c r="F24" s="136">
        <f>5!E24</f>
        <v>55</v>
      </c>
      <c r="G24" s="162">
        <f>5!F24</f>
        <v>34</v>
      </c>
      <c r="H24" s="141">
        <f>5!M24</f>
        <v>5</v>
      </c>
      <c r="I24" s="155">
        <f>5!N24</f>
        <v>5</v>
      </c>
      <c r="J24" s="165">
        <f>5+1+2+3</f>
        <v>11</v>
      </c>
      <c r="K24" s="166">
        <v>0</v>
      </c>
      <c r="L24" s="151">
        <f t="shared" si="2"/>
        <v>28</v>
      </c>
      <c r="M24" s="152">
        <v>0</v>
      </c>
      <c r="N24" s="152">
        <v>18</v>
      </c>
      <c r="O24" s="153">
        <v>0</v>
      </c>
      <c r="P24" s="153">
        <f>2+4+2+2</f>
        <v>10</v>
      </c>
      <c r="Q24" s="207">
        <f t="shared" si="3"/>
        <v>9</v>
      </c>
      <c r="R24" s="273">
        <f>2+23+3+2</f>
        <v>30</v>
      </c>
      <c r="S24" s="317">
        <v>0</v>
      </c>
      <c r="T24" s="277">
        <v>0</v>
      </c>
      <c r="U24" s="333">
        <v>0</v>
      </c>
      <c r="V24" s="150">
        <v>1</v>
      </c>
      <c r="W24" s="150">
        <v>1</v>
      </c>
      <c r="X24" s="150">
        <v>1</v>
      </c>
    </row>
    <row r="25" spans="2:24" s="1" customFormat="1" ht="46.5" customHeight="1">
      <c r="B25" s="17">
        <v>14</v>
      </c>
      <c r="C25" s="8" t="s">
        <v>33</v>
      </c>
      <c r="D25" s="201">
        <f t="shared" si="0"/>
        <v>306</v>
      </c>
      <c r="E25" s="202">
        <f t="shared" si="1"/>
        <v>310</v>
      </c>
      <c r="F25" s="136">
        <f>5!E25</f>
        <v>264</v>
      </c>
      <c r="G25" s="162">
        <f>5!F25</f>
        <v>284</v>
      </c>
      <c r="H25" s="141">
        <f>5!M25</f>
        <v>42</v>
      </c>
      <c r="I25" s="155">
        <f>5!N25</f>
        <v>26</v>
      </c>
      <c r="J25" s="165">
        <f>10+22+30+16</f>
        <v>78</v>
      </c>
      <c r="K25" s="166">
        <f>3+2</f>
        <v>5</v>
      </c>
      <c r="L25" s="151">
        <f t="shared" si="2"/>
        <v>227</v>
      </c>
      <c r="M25" s="152">
        <v>7</v>
      </c>
      <c r="N25" s="152">
        <v>7</v>
      </c>
      <c r="O25" s="153">
        <v>5</v>
      </c>
      <c r="P25" s="153">
        <f>58+46+62+42</f>
        <v>208</v>
      </c>
      <c r="Q25" s="207">
        <f t="shared" si="3"/>
        <v>92</v>
      </c>
      <c r="R25" s="273">
        <f>60+43+63+39</f>
        <v>205</v>
      </c>
      <c r="S25" s="317">
        <v>9</v>
      </c>
      <c r="T25" s="277">
        <v>4</v>
      </c>
      <c r="U25" s="333">
        <f>12+8</f>
        <v>20</v>
      </c>
      <c r="V25" s="150">
        <v>16</v>
      </c>
      <c r="W25" s="150">
        <v>0</v>
      </c>
      <c r="X25" s="150">
        <v>1</v>
      </c>
    </row>
    <row r="26" spans="2:24" s="1" customFormat="1" ht="46.5" customHeight="1" thickBot="1">
      <c r="B26" s="17">
        <v>15</v>
      </c>
      <c r="C26" s="7" t="s">
        <v>34</v>
      </c>
      <c r="D26" s="203">
        <f t="shared" si="0"/>
        <v>5</v>
      </c>
      <c r="E26" s="204">
        <f t="shared" si="1"/>
        <v>8</v>
      </c>
      <c r="F26" s="137">
        <f>5!E26</f>
        <v>0</v>
      </c>
      <c r="G26" s="163">
        <f>5!F26</f>
        <v>1</v>
      </c>
      <c r="H26" s="171">
        <f>5!M26</f>
        <v>5</v>
      </c>
      <c r="I26" s="156">
        <f>5!N26</f>
        <v>7</v>
      </c>
      <c r="J26" s="172">
        <f>3+1+1+2</f>
        <v>7</v>
      </c>
      <c r="K26" s="167">
        <v>0</v>
      </c>
      <c r="L26" s="151">
        <f t="shared" si="2"/>
        <v>1</v>
      </c>
      <c r="M26" s="152">
        <v>1</v>
      </c>
      <c r="N26" s="152">
        <v>0</v>
      </c>
      <c r="O26" s="153">
        <v>0</v>
      </c>
      <c r="P26" s="173">
        <v>0</v>
      </c>
      <c r="Q26" s="208">
        <f t="shared" si="3"/>
        <v>8</v>
      </c>
      <c r="R26" s="274">
        <v>0</v>
      </c>
      <c r="S26" s="318">
        <v>0</v>
      </c>
      <c r="T26" s="278">
        <v>0</v>
      </c>
      <c r="U26" s="338">
        <f>2+1</f>
        <v>3</v>
      </c>
      <c r="V26" s="337">
        <v>2</v>
      </c>
      <c r="W26" s="337">
        <v>0</v>
      </c>
      <c r="X26" s="319">
        <v>0</v>
      </c>
    </row>
    <row r="27" spans="2:24" s="1" customFormat="1" ht="46.5" customHeight="1" thickBot="1">
      <c r="B27" s="424" t="s">
        <v>5</v>
      </c>
      <c r="C27" s="425"/>
      <c r="D27" s="198">
        <f t="shared" si="0"/>
        <v>1393</v>
      </c>
      <c r="E27" s="160">
        <f t="shared" si="1"/>
        <v>1372</v>
      </c>
      <c r="F27" s="168">
        <f aca="true" t="shared" si="4" ref="F27:K27">SUM(F12:F26)</f>
        <v>1263</v>
      </c>
      <c r="G27" s="122">
        <f t="shared" si="4"/>
        <v>1279</v>
      </c>
      <c r="H27" s="174">
        <f t="shared" si="4"/>
        <v>130</v>
      </c>
      <c r="I27" s="175">
        <f t="shared" si="4"/>
        <v>93</v>
      </c>
      <c r="J27" s="168">
        <f t="shared" si="4"/>
        <v>284</v>
      </c>
      <c r="K27" s="169">
        <f t="shared" si="4"/>
        <v>35</v>
      </c>
      <c r="L27" s="176">
        <f>SUM(M27:P27)</f>
        <v>1053</v>
      </c>
      <c r="M27" s="157">
        <f>SUM(M12:M26)</f>
        <v>24</v>
      </c>
      <c r="N27" s="158">
        <f>SUM(N12:N26)</f>
        <v>141</v>
      </c>
      <c r="O27" s="159">
        <f>SUM(O12:O26)</f>
        <v>14</v>
      </c>
      <c r="P27" s="160">
        <f>SUM(P12:P26)</f>
        <v>874</v>
      </c>
      <c r="Q27" s="280">
        <f>SUM(Q12:Q26)</f>
        <v>429</v>
      </c>
      <c r="R27" s="256">
        <f aca="true" t="shared" si="5" ref="R27:X27">SUM(R12:R26)</f>
        <v>895</v>
      </c>
      <c r="S27" s="275">
        <f t="shared" si="5"/>
        <v>28</v>
      </c>
      <c r="T27" s="256">
        <f t="shared" si="5"/>
        <v>20</v>
      </c>
      <c r="U27" s="340">
        <f>SUM(U12:U26)</f>
        <v>30</v>
      </c>
      <c r="V27" s="341">
        <f t="shared" si="5"/>
        <v>35</v>
      </c>
      <c r="W27" s="342">
        <f>SUM(W12:W26)</f>
        <v>11</v>
      </c>
      <c r="X27" s="339">
        <f t="shared" si="5"/>
        <v>14</v>
      </c>
    </row>
    <row r="28" spans="3:20" ht="61.5" customHeight="1">
      <c r="C28" s="2"/>
      <c r="D28" s="5"/>
      <c r="E28" s="5"/>
      <c r="F28" s="6"/>
      <c r="G28" s="6"/>
      <c r="H28" s="6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</row>
    <row r="29" spans="3:23" ht="48" customHeight="1"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134"/>
    </row>
    <row r="30" spans="3:20" ht="45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2"/>
      <c r="N30" s="2"/>
      <c r="O30" s="2"/>
      <c r="P30" s="2"/>
      <c r="Q30" s="2"/>
      <c r="R30" s="2"/>
      <c r="S30" s="2"/>
      <c r="T30" s="2"/>
    </row>
    <row r="31" spans="3:20" ht="45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2"/>
      <c r="N31" s="2"/>
      <c r="O31" s="2"/>
      <c r="P31" s="2"/>
      <c r="Q31" s="2"/>
      <c r="R31" s="2"/>
      <c r="S31" s="2"/>
      <c r="T31" s="2"/>
    </row>
    <row r="32" spans="3:20" ht="45.75">
      <c r="C32" s="33"/>
      <c r="D32" s="33"/>
      <c r="E32" s="33"/>
      <c r="F32" s="33"/>
      <c r="G32" s="33"/>
      <c r="H32" s="33"/>
      <c r="I32" s="34"/>
      <c r="J32" s="34"/>
      <c r="K32" s="34"/>
      <c r="L32" s="2"/>
      <c r="M32" s="2"/>
      <c r="N32" s="2"/>
      <c r="O32" s="2"/>
      <c r="P32" s="2"/>
      <c r="Q32" s="2"/>
      <c r="R32" s="2"/>
      <c r="S32" s="2"/>
      <c r="T32" s="2"/>
    </row>
    <row r="33" spans="3:12" ht="45.75">
      <c r="C33" s="33"/>
      <c r="D33" s="33"/>
      <c r="E33" s="33"/>
      <c r="F33" s="33"/>
      <c r="G33" s="33"/>
      <c r="H33" s="33"/>
      <c r="I33" s="34"/>
      <c r="J33" s="34"/>
      <c r="K33" s="34"/>
      <c r="L33" s="2"/>
    </row>
  </sheetData>
  <sheetProtection/>
  <mergeCells count="29">
    <mergeCell ref="C29:V29"/>
    <mergeCell ref="B3:X3"/>
    <mergeCell ref="B4:X4"/>
    <mergeCell ref="R5:X5"/>
    <mergeCell ref="B6:B10"/>
    <mergeCell ref="C6:C10"/>
    <mergeCell ref="D6:E9"/>
    <mergeCell ref="J7:T7"/>
    <mergeCell ref="K8:K10"/>
    <mergeCell ref="L9:L10"/>
    <mergeCell ref="O9:O10"/>
    <mergeCell ref="U7:V9"/>
    <mergeCell ref="T8:T10"/>
    <mergeCell ref="F8:G9"/>
    <mergeCell ref="F6:X6"/>
    <mergeCell ref="F7:I7"/>
    <mergeCell ref="M9:N9"/>
    <mergeCell ref="H8:I9"/>
    <mergeCell ref="P9:P10"/>
    <mergeCell ref="W2:X2"/>
    <mergeCell ref="W1:X1"/>
    <mergeCell ref="K5:M5"/>
    <mergeCell ref="W7:X9"/>
    <mergeCell ref="J8:J10"/>
    <mergeCell ref="B27:C27"/>
    <mergeCell ref="Q8:Q10"/>
    <mergeCell ref="R8:R10"/>
    <mergeCell ref="S8:S10"/>
    <mergeCell ref="L8:P8"/>
  </mergeCells>
  <printOptions/>
  <pageMargins left="0.1968503937007874" right="0.1968503937007874" top="0.1968503937007874" bottom="0.1968503937007874" header="0" footer="0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1"/>
  <sheetViews>
    <sheetView tabSelected="1" view="pageBreakPreview" zoomScale="40" zoomScaleNormal="40" zoomScaleSheetLayoutView="40" zoomScalePageLayoutView="0" workbookViewId="0" topLeftCell="A4">
      <selection activeCell="H9" sqref="H9"/>
    </sheetView>
  </sheetViews>
  <sheetFormatPr defaultColWidth="8.8515625" defaultRowHeight="12.75"/>
  <cols>
    <col min="1" max="1" width="8.57421875" style="46" customWidth="1"/>
    <col min="2" max="2" width="55.7109375" style="46" customWidth="1"/>
    <col min="3" max="4" width="14.7109375" style="46" customWidth="1"/>
    <col min="5" max="33" width="10.7109375" style="46" customWidth="1"/>
    <col min="34" max="34" width="10.7109375" style="45" customWidth="1"/>
    <col min="35" max="16384" width="8.8515625" style="46" customWidth="1"/>
  </cols>
  <sheetData>
    <row r="1" spans="32:34" ht="38.25">
      <c r="AF1" s="449" t="s">
        <v>55</v>
      </c>
      <c r="AG1" s="449"/>
      <c r="AH1" s="449"/>
    </row>
    <row r="2" spans="1:34" ht="66" customHeight="1">
      <c r="A2" s="452" t="s">
        <v>116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</row>
    <row r="3" spans="1:34" ht="39" customHeight="1" thickBot="1">
      <c r="A3" s="47"/>
      <c r="M3" s="465"/>
      <c r="N3" s="466"/>
      <c r="O3" s="466"/>
      <c r="P3" s="466"/>
      <c r="Z3" s="458"/>
      <c r="AA3" s="458"/>
      <c r="AB3" s="458"/>
      <c r="AC3" s="458"/>
      <c r="AD3" s="458"/>
      <c r="AE3" s="458"/>
      <c r="AF3" s="458"/>
      <c r="AG3" s="458"/>
      <c r="AH3" s="458"/>
    </row>
    <row r="4" spans="1:34" ht="288" customHeight="1" thickBot="1">
      <c r="A4" s="456" t="s">
        <v>0</v>
      </c>
      <c r="B4" s="463" t="s">
        <v>8</v>
      </c>
      <c r="C4" s="461" t="s">
        <v>56</v>
      </c>
      <c r="D4" s="462"/>
      <c r="E4" s="450" t="s">
        <v>20</v>
      </c>
      <c r="F4" s="451"/>
      <c r="G4" s="450" t="s">
        <v>21</v>
      </c>
      <c r="H4" s="451"/>
      <c r="I4" s="450" t="s">
        <v>22</v>
      </c>
      <c r="J4" s="451"/>
      <c r="K4" s="450" t="s">
        <v>23</v>
      </c>
      <c r="L4" s="451"/>
      <c r="M4" s="450" t="s">
        <v>24</v>
      </c>
      <c r="N4" s="451"/>
      <c r="O4" s="450" t="s">
        <v>25</v>
      </c>
      <c r="P4" s="451"/>
      <c r="Q4" s="450" t="s">
        <v>26</v>
      </c>
      <c r="R4" s="451"/>
      <c r="S4" s="450" t="s">
        <v>27</v>
      </c>
      <c r="T4" s="451"/>
      <c r="U4" s="450" t="s">
        <v>28</v>
      </c>
      <c r="V4" s="451"/>
      <c r="W4" s="450" t="s">
        <v>29</v>
      </c>
      <c r="X4" s="451"/>
      <c r="Y4" s="450" t="s">
        <v>30</v>
      </c>
      <c r="Z4" s="453"/>
      <c r="AA4" s="454" t="s">
        <v>31</v>
      </c>
      <c r="AB4" s="455"/>
      <c r="AC4" s="454" t="s">
        <v>32</v>
      </c>
      <c r="AD4" s="455"/>
      <c r="AE4" s="454" t="s">
        <v>33</v>
      </c>
      <c r="AF4" s="455"/>
      <c r="AG4" s="454" t="s">
        <v>57</v>
      </c>
      <c r="AH4" s="451"/>
    </row>
    <row r="5" spans="1:34" ht="41.25" customHeight="1" thickBot="1">
      <c r="A5" s="457"/>
      <c r="B5" s="464"/>
      <c r="C5" s="114">
        <v>2021</v>
      </c>
      <c r="D5" s="113">
        <v>2022</v>
      </c>
      <c r="E5" s="114">
        <v>2021</v>
      </c>
      <c r="F5" s="113">
        <v>2022</v>
      </c>
      <c r="G5" s="114">
        <v>2021</v>
      </c>
      <c r="H5" s="113">
        <v>2022</v>
      </c>
      <c r="I5" s="114">
        <v>2021</v>
      </c>
      <c r="J5" s="113">
        <v>2022</v>
      </c>
      <c r="K5" s="114">
        <v>2021</v>
      </c>
      <c r="L5" s="113">
        <v>2022</v>
      </c>
      <c r="M5" s="114">
        <v>2021</v>
      </c>
      <c r="N5" s="113">
        <v>2022</v>
      </c>
      <c r="O5" s="114">
        <v>2021</v>
      </c>
      <c r="P5" s="113">
        <v>2022</v>
      </c>
      <c r="Q5" s="114">
        <v>2021</v>
      </c>
      <c r="R5" s="113">
        <v>2022</v>
      </c>
      <c r="S5" s="114">
        <v>2021</v>
      </c>
      <c r="T5" s="113">
        <v>2022</v>
      </c>
      <c r="U5" s="114">
        <v>2021</v>
      </c>
      <c r="V5" s="113">
        <v>2022</v>
      </c>
      <c r="W5" s="114">
        <v>2021</v>
      </c>
      <c r="X5" s="113">
        <v>2022</v>
      </c>
      <c r="Y5" s="114">
        <v>2021</v>
      </c>
      <c r="Z5" s="113">
        <v>2022</v>
      </c>
      <c r="AA5" s="114">
        <v>2021</v>
      </c>
      <c r="AB5" s="113">
        <v>2022</v>
      </c>
      <c r="AC5" s="114">
        <v>2021</v>
      </c>
      <c r="AD5" s="113">
        <v>2022</v>
      </c>
      <c r="AE5" s="114">
        <v>2021</v>
      </c>
      <c r="AF5" s="113">
        <v>2022</v>
      </c>
      <c r="AG5" s="114">
        <v>2021</v>
      </c>
      <c r="AH5" s="113">
        <v>2022</v>
      </c>
    </row>
    <row r="6" spans="1:34" ht="41.25" customHeight="1" thickBot="1">
      <c r="A6" s="126">
        <v>1</v>
      </c>
      <c r="B6" s="123">
        <v>2</v>
      </c>
      <c r="C6" s="210">
        <v>3</v>
      </c>
      <c r="D6" s="217">
        <v>4</v>
      </c>
      <c r="E6" s="210">
        <v>5</v>
      </c>
      <c r="F6" s="217">
        <v>6</v>
      </c>
      <c r="G6" s="210">
        <v>7</v>
      </c>
      <c r="H6" s="217">
        <v>8</v>
      </c>
      <c r="I6" s="210">
        <v>9</v>
      </c>
      <c r="J6" s="217">
        <v>10</v>
      </c>
      <c r="K6" s="210">
        <v>11</v>
      </c>
      <c r="L6" s="217">
        <v>12</v>
      </c>
      <c r="M6" s="210">
        <v>13</v>
      </c>
      <c r="N6" s="217">
        <v>14</v>
      </c>
      <c r="O6" s="210">
        <v>15</v>
      </c>
      <c r="P6" s="217">
        <v>16</v>
      </c>
      <c r="Q6" s="210">
        <v>17</v>
      </c>
      <c r="R6" s="217">
        <v>18</v>
      </c>
      <c r="S6" s="210">
        <v>19</v>
      </c>
      <c r="T6" s="217">
        <v>20</v>
      </c>
      <c r="U6" s="210">
        <v>21</v>
      </c>
      <c r="V6" s="217">
        <v>22</v>
      </c>
      <c r="W6" s="210">
        <v>23</v>
      </c>
      <c r="X6" s="217">
        <v>24</v>
      </c>
      <c r="Y6" s="210">
        <v>25</v>
      </c>
      <c r="Z6" s="217">
        <v>26</v>
      </c>
      <c r="AA6" s="210">
        <v>27</v>
      </c>
      <c r="AB6" s="217">
        <v>28</v>
      </c>
      <c r="AC6" s="210">
        <v>29</v>
      </c>
      <c r="AD6" s="217">
        <v>30</v>
      </c>
      <c r="AE6" s="210">
        <v>31</v>
      </c>
      <c r="AF6" s="217">
        <v>32</v>
      </c>
      <c r="AG6" s="210">
        <v>33</v>
      </c>
      <c r="AH6" s="245">
        <v>34</v>
      </c>
    </row>
    <row r="7" spans="1:34" ht="64.5" customHeight="1">
      <c r="A7" s="125">
        <v>1</v>
      </c>
      <c r="B7" s="119" t="s">
        <v>94</v>
      </c>
      <c r="C7" s="246">
        <f>SUM(E7,G7,I7,K7,M7,O7,Q7,S7,U7,W7,Y7,AA7,AC7,AE7,AG7)</f>
        <v>8</v>
      </c>
      <c r="D7" s="249">
        <f>SUM(F7,H7,J7,L7,N7,P7,R7,T7,V7,X7,Z7,AB7,AD7,AF7,AH7)</f>
        <v>3</v>
      </c>
      <c r="E7" s="352">
        <v>1</v>
      </c>
      <c r="F7" s="330">
        <v>0</v>
      </c>
      <c r="G7" s="355">
        <v>0</v>
      </c>
      <c r="H7" s="254">
        <v>0</v>
      </c>
      <c r="I7" s="352">
        <v>0</v>
      </c>
      <c r="J7" s="330">
        <v>0</v>
      </c>
      <c r="K7" s="355">
        <v>0</v>
      </c>
      <c r="L7" s="254">
        <v>0</v>
      </c>
      <c r="M7" s="352">
        <v>0</v>
      </c>
      <c r="N7" s="330">
        <v>0</v>
      </c>
      <c r="O7" s="355">
        <v>0</v>
      </c>
      <c r="P7" s="254">
        <v>0</v>
      </c>
      <c r="Q7" s="352">
        <v>0</v>
      </c>
      <c r="R7" s="330">
        <v>0</v>
      </c>
      <c r="S7" s="355">
        <v>1</v>
      </c>
      <c r="T7" s="254">
        <v>0</v>
      </c>
      <c r="U7" s="352">
        <v>0</v>
      </c>
      <c r="V7" s="330">
        <v>0</v>
      </c>
      <c r="W7" s="355">
        <v>0</v>
      </c>
      <c r="X7" s="254">
        <v>0</v>
      </c>
      <c r="Y7" s="360">
        <v>2</v>
      </c>
      <c r="Z7" s="330">
        <v>0</v>
      </c>
      <c r="AA7" s="357">
        <v>0</v>
      </c>
      <c r="AB7" s="254">
        <v>0</v>
      </c>
      <c r="AC7" s="360">
        <v>0</v>
      </c>
      <c r="AD7" s="330">
        <v>0</v>
      </c>
      <c r="AE7" s="357">
        <v>4</v>
      </c>
      <c r="AF7" s="254">
        <f>1+1+1</f>
        <v>3</v>
      </c>
      <c r="AG7" s="363">
        <v>0</v>
      </c>
      <c r="AH7" s="247">
        <v>0</v>
      </c>
    </row>
    <row r="8" spans="1:34" ht="64.5" customHeight="1">
      <c r="A8" s="124">
        <v>2</v>
      </c>
      <c r="B8" s="120" t="s">
        <v>95</v>
      </c>
      <c r="C8" s="248">
        <f aca="true" t="shared" si="0" ref="C8:C20">SUM(E8,G8,I8,K8,M8,O8,Q8,S8,U8,W8,Y8,AA8,AC8,AE8,AG8)</f>
        <v>7</v>
      </c>
      <c r="D8" s="250">
        <f aca="true" t="shared" si="1" ref="D8:D20">SUM(F8,H8,J8,L8,N8,P8,R8,T8,V8,X8,Z8,AB8,AD8,AF8,AH8)</f>
        <v>2</v>
      </c>
      <c r="E8" s="353">
        <v>1</v>
      </c>
      <c r="F8" s="329">
        <v>0</v>
      </c>
      <c r="G8" s="351">
        <v>1</v>
      </c>
      <c r="H8" s="49">
        <v>0</v>
      </c>
      <c r="I8" s="353">
        <v>1</v>
      </c>
      <c r="J8" s="329">
        <v>0</v>
      </c>
      <c r="K8" s="351">
        <v>0</v>
      </c>
      <c r="L8" s="49">
        <v>0</v>
      </c>
      <c r="M8" s="353">
        <v>0</v>
      </c>
      <c r="N8" s="329">
        <v>0</v>
      </c>
      <c r="O8" s="351">
        <v>0</v>
      </c>
      <c r="P8" s="49">
        <v>0</v>
      </c>
      <c r="Q8" s="353">
        <v>0</v>
      </c>
      <c r="R8" s="329">
        <v>0</v>
      </c>
      <c r="S8" s="351">
        <v>0</v>
      </c>
      <c r="T8" s="49">
        <v>0</v>
      </c>
      <c r="U8" s="353">
        <v>0</v>
      </c>
      <c r="V8" s="329">
        <v>0</v>
      </c>
      <c r="W8" s="351">
        <v>0</v>
      </c>
      <c r="X8" s="49">
        <v>0</v>
      </c>
      <c r="Y8" s="361">
        <f>1+1</f>
        <v>2</v>
      </c>
      <c r="Z8" s="329">
        <v>2</v>
      </c>
      <c r="AA8" s="358">
        <v>0</v>
      </c>
      <c r="AB8" s="49">
        <v>0</v>
      </c>
      <c r="AC8" s="361">
        <v>0</v>
      </c>
      <c r="AD8" s="329">
        <v>0</v>
      </c>
      <c r="AE8" s="358">
        <v>2</v>
      </c>
      <c r="AF8" s="49">
        <v>0</v>
      </c>
      <c r="AG8" s="364">
        <v>0</v>
      </c>
      <c r="AH8" s="148">
        <v>0</v>
      </c>
    </row>
    <row r="9" spans="1:34" ht="64.5" customHeight="1">
      <c r="A9" s="124">
        <v>3</v>
      </c>
      <c r="B9" s="120" t="s">
        <v>96</v>
      </c>
      <c r="C9" s="248">
        <f t="shared" si="0"/>
        <v>74</v>
      </c>
      <c r="D9" s="250">
        <f t="shared" si="1"/>
        <v>79</v>
      </c>
      <c r="E9" s="353">
        <f>2+1+3</f>
        <v>6</v>
      </c>
      <c r="F9" s="329">
        <v>6</v>
      </c>
      <c r="G9" s="351">
        <f>2+2</f>
        <v>4</v>
      </c>
      <c r="H9" s="49">
        <v>2</v>
      </c>
      <c r="I9" s="353">
        <f>2+2</f>
        <v>4</v>
      </c>
      <c r="J9" s="329">
        <v>2</v>
      </c>
      <c r="K9" s="351">
        <f>2+1+1</f>
        <v>4</v>
      </c>
      <c r="L9" s="49">
        <v>4</v>
      </c>
      <c r="M9" s="353">
        <f>1+1+1</f>
        <v>3</v>
      </c>
      <c r="N9" s="329">
        <v>1</v>
      </c>
      <c r="O9" s="351">
        <f>1+2+1</f>
        <v>4</v>
      </c>
      <c r="P9" s="49">
        <f>2+3</f>
        <v>5</v>
      </c>
      <c r="Q9" s="353">
        <f>1+2+5</f>
        <v>8</v>
      </c>
      <c r="R9" s="329">
        <f>1+1+1+2</f>
        <v>5</v>
      </c>
      <c r="S9" s="351">
        <v>2</v>
      </c>
      <c r="T9" s="49">
        <v>2</v>
      </c>
      <c r="U9" s="353">
        <v>8</v>
      </c>
      <c r="V9" s="329">
        <v>1</v>
      </c>
      <c r="W9" s="351">
        <v>0</v>
      </c>
      <c r="X9" s="49">
        <v>2</v>
      </c>
      <c r="Y9" s="361">
        <f>2+2+2+1</f>
        <v>7</v>
      </c>
      <c r="Z9" s="329">
        <f>1+2+3</f>
        <v>6</v>
      </c>
      <c r="AA9" s="358">
        <v>1</v>
      </c>
      <c r="AB9" s="49">
        <f>1+1+2+3</f>
        <v>7</v>
      </c>
      <c r="AC9" s="361">
        <f>2+2</f>
        <v>4</v>
      </c>
      <c r="AD9" s="329">
        <v>7</v>
      </c>
      <c r="AE9" s="358">
        <f>3+6+5+5</f>
        <v>19</v>
      </c>
      <c r="AF9" s="49">
        <f>1+3+17+8</f>
        <v>29</v>
      </c>
      <c r="AG9" s="364">
        <v>0</v>
      </c>
      <c r="AH9" s="148">
        <v>0</v>
      </c>
    </row>
    <row r="10" spans="1:34" ht="64.5" customHeight="1">
      <c r="A10" s="124">
        <v>4</v>
      </c>
      <c r="B10" s="121" t="s">
        <v>97</v>
      </c>
      <c r="C10" s="248">
        <f t="shared" si="0"/>
        <v>15</v>
      </c>
      <c r="D10" s="250">
        <f t="shared" si="1"/>
        <v>16</v>
      </c>
      <c r="E10" s="353">
        <v>2</v>
      </c>
      <c r="F10" s="329">
        <v>1</v>
      </c>
      <c r="G10" s="351">
        <v>2</v>
      </c>
      <c r="H10" s="49">
        <v>0</v>
      </c>
      <c r="I10" s="353">
        <v>1</v>
      </c>
      <c r="J10" s="329">
        <v>0</v>
      </c>
      <c r="K10" s="351">
        <v>0</v>
      </c>
      <c r="L10" s="49">
        <v>3</v>
      </c>
      <c r="M10" s="353">
        <v>0</v>
      </c>
      <c r="N10" s="329">
        <v>1</v>
      </c>
      <c r="O10" s="351">
        <v>0</v>
      </c>
      <c r="P10" s="49">
        <v>1</v>
      </c>
      <c r="Q10" s="353">
        <v>0</v>
      </c>
      <c r="R10" s="329">
        <v>0</v>
      </c>
      <c r="S10" s="351">
        <f>3+1</f>
        <v>4</v>
      </c>
      <c r="T10" s="49">
        <v>0</v>
      </c>
      <c r="U10" s="353">
        <v>1</v>
      </c>
      <c r="V10" s="329">
        <v>0</v>
      </c>
      <c r="W10" s="351">
        <v>0</v>
      </c>
      <c r="X10" s="49">
        <v>1</v>
      </c>
      <c r="Y10" s="361">
        <v>2</v>
      </c>
      <c r="Z10" s="329">
        <v>2</v>
      </c>
      <c r="AA10" s="358">
        <v>0</v>
      </c>
      <c r="AB10" s="49">
        <v>0</v>
      </c>
      <c r="AC10" s="361">
        <v>0</v>
      </c>
      <c r="AD10" s="329">
        <v>0</v>
      </c>
      <c r="AE10" s="358">
        <f>1+1+1</f>
        <v>3</v>
      </c>
      <c r="AF10" s="49">
        <f>4+1+2</f>
        <v>7</v>
      </c>
      <c r="AG10" s="364">
        <v>0</v>
      </c>
      <c r="AH10" s="148">
        <v>0</v>
      </c>
    </row>
    <row r="11" spans="1:34" ht="64.5" customHeight="1">
      <c r="A11" s="124">
        <v>5</v>
      </c>
      <c r="B11" s="121" t="s">
        <v>98</v>
      </c>
      <c r="C11" s="248">
        <f t="shared" si="0"/>
        <v>20</v>
      </c>
      <c r="D11" s="250">
        <f t="shared" si="1"/>
        <v>49</v>
      </c>
      <c r="E11" s="353">
        <v>1</v>
      </c>
      <c r="F11" s="329">
        <f>1+3+1+2</f>
        <v>7</v>
      </c>
      <c r="G11" s="351">
        <v>0</v>
      </c>
      <c r="H11" s="49">
        <v>2</v>
      </c>
      <c r="I11" s="353">
        <v>2</v>
      </c>
      <c r="J11" s="329">
        <f>2+2</f>
        <v>4</v>
      </c>
      <c r="K11" s="351">
        <v>2</v>
      </c>
      <c r="L11" s="49">
        <v>1</v>
      </c>
      <c r="M11" s="353">
        <v>1</v>
      </c>
      <c r="N11" s="329">
        <f>1+3+1</f>
        <v>5</v>
      </c>
      <c r="O11" s="351">
        <v>0</v>
      </c>
      <c r="P11" s="49">
        <v>3</v>
      </c>
      <c r="Q11" s="353">
        <v>0</v>
      </c>
      <c r="R11" s="329">
        <v>0</v>
      </c>
      <c r="S11" s="351">
        <f>2+1+1</f>
        <v>4</v>
      </c>
      <c r="T11" s="49">
        <v>2</v>
      </c>
      <c r="U11" s="353">
        <f>1+1</f>
        <v>2</v>
      </c>
      <c r="V11" s="329">
        <v>1</v>
      </c>
      <c r="W11" s="351">
        <v>1</v>
      </c>
      <c r="X11" s="49">
        <v>5</v>
      </c>
      <c r="Y11" s="361">
        <v>1</v>
      </c>
      <c r="Z11" s="329">
        <v>0</v>
      </c>
      <c r="AA11" s="358">
        <v>0</v>
      </c>
      <c r="AB11" s="49">
        <v>2</v>
      </c>
      <c r="AC11" s="361">
        <v>1</v>
      </c>
      <c r="AD11" s="329">
        <v>3</v>
      </c>
      <c r="AE11" s="358">
        <f>1+2+2</f>
        <v>5</v>
      </c>
      <c r="AF11" s="49">
        <f>2+2+7+1+2</f>
        <v>14</v>
      </c>
      <c r="AG11" s="364">
        <v>0</v>
      </c>
      <c r="AH11" s="148">
        <v>0</v>
      </c>
    </row>
    <row r="12" spans="1:34" ht="64.5" customHeight="1">
      <c r="A12" s="124">
        <v>6</v>
      </c>
      <c r="B12" s="120" t="s">
        <v>99</v>
      </c>
      <c r="C12" s="248">
        <f t="shared" si="0"/>
        <v>19</v>
      </c>
      <c r="D12" s="251">
        <f t="shared" si="1"/>
        <v>13</v>
      </c>
      <c r="E12" s="353">
        <f>1+2</f>
        <v>3</v>
      </c>
      <c r="F12" s="329">
        <v>0</v>
      </c>
      <c r="G12" s="351">
        <v>0</v>
      </c>
      <c r="H12" s="49">
        <v>0</v>
      </c>
      <c r="I12" s="353">
        <v>0</v>
      </c>
      <c r="J12" s="329">
        <v>1</v>
      </c>
      <c r="K12" s="351">
        <v>0</v>
      </c>
      <c r="L12" s="49">
        <v>0</v>
      </c>
      <c r="M12" s="353">
        <f>2+1+2+1</f>
        <v>6</v>
      </c>
      <c r="N12" s="329">
        <f>2+3+1</f>
        <v>6</v>
      </c>
      <c r="O12" s="351">
        <v>0</v>
      </c>
      <c r="P12" s="49">
        <v>0</v>
      </c>
      <c r="Q12" s="353">
        <v>0</v>
      </c>
      <c r="R12" s="329">
        <v>0</v>
      </c>
      <c r="S12" s="351">
        <v>2</v>
      </c>
      <c r="T12" s="49">
        <v>0</v>
      </c>
      <c r="U12" s="353">
        <v>1</v>
      </c>
      <c r="V12" s="329">
        <v>0</v>
      </c>
      <c r="W12" s="351">
        <f>1+1</f>
        <v>2</v>
      </c>
      <c r="X12" s="49">
        <f>2+1</f>
        <v>3</v>
      </c>
      <c r="Y12" s="361">
        <f>2</f>
        <v>2</v>
      </c>
      <c r="Z12" s="329">
        <v>1</v>
      </c>
      <c r="AA12" s="358">
        <v>0</v>
      </c>
      <c r="AB12" s="49">
        <v>2</v>
      </c>
      <c r="AC12" s="361">
        <v>0</v>
      </c>
      <c r="AD12" s="329">
        <v>0</v>
      </c>
      <c r="AE12" s="358">
        <f>1+2</f>
        <v>3</v>
      </c>
      <c r="AF12" s="49">
        <v>0</v>
      </c>
      <c r="AG12" s="364">
        <v>0</v>
      </c>
      <c r="AH12" s="148">
        <v>0</v>
      </c>
    </row>
    <row r="13" spans="1:34" ht="64.5" customHeight="1">
      <c r="A13" s="124">
        <v>7</v>
      </c>
      <c r="B13" s="120" t="s">
        <v>100</v>
      </c>
      <c r="C13" s="248">
        <f t="shared" si="0"/>
        <v>58</v>
      </c>
      <c r="D13" s="251">
        <f t="shared" si="1"/>
        <v>49</v>
      </c>
      <c r="E13" s="353">
        <f>2+1+1</f>
        <v>4</v>
      </c>
      <c r="F13" s="329">
        <f>2+3</f>
        <v>5</v>
      </c>
      <c r="G13" s="351">
        <f>4+2</f>
        <v>6</v>
      </c>
      <c r="H13" s="49">
        <v>2</v>
      </c>
      <c r="I13" s="353">
        <f>2+3</f>
        <v>5</v>
      </c>
      <c r="J13" s="329">
        <v>4</v>
      </c>
      <c r="K13" s="351">
        <v>0</v>
      </c>
      <c r="L13" s="49">
        <v>1</v>
      </c>
      <c r="M13" s="353">
        <f>2+2</f>
        <v>4</v>
      </c>
      <c r="N13" s="329">
        <f>1+1+5+1</f>
        <v>8</v>
      </c>
      <c r="O13" s="351">
        <v>3</v>
      </c>
      <c r="P13" s="49">
        <v>1</v>
      </c>
      <c r="Q13" s="353">
        <f>1+2</f>
        <v>3</v>
      </c>
      <c r="R13" s="329">
        <v>0</v>
      </c>
      <c r="S13" s="351">
        <v>0</v>
      </c>
      <c r="T13" s="49">
        <v>2</v>
      </c>
      <c r="U13" s="353">
        <v>2</v>
      </c>
      <c r="V13" s="329">
        <v>2</v>
      </c>
      <c r="W13" s="351">
        <f>2+2</f>
        <v>4</v>
      </c>
      <c r="X13" s="49">
        <v>2</v>
      </c>
      <c r="Y13" s="361">
        <f>3+1</f>
        <v>4</v>
      </c>
      <c r="Z13" s="329">
        <v>2</v>
      </c>
      <c r="AA13" s="358">
        <f>1+3</f>
        <v>4</v>
      </c>
      <c r="AB13" s="49">
        <v>4</v>
      </c>
      <c r="AC13" s="361">
        <f>2+1+1</f>
        <v>4</v>
      </c>
      <c r="AD13" s="329">
        <v>2</v>
      </c>
      <c r="AE13" s="358">
        <f>5+3+5+2</f>
        <v>15</v>
      </c>
      <c r="AF13" s="49">
        <f>1+1+10+2</f>
        <v>14</v>
      </c>
      <c r="AG13" s="364">
        <v>0</v>
      </c>
      <c r="AH13" s="148">
        <v>0</v>
      </c>
    </row>
    <row r="14" spans="1:34" ht="64.5" customHeight="1">
      <c r="A14" s="124">
        <v>8</v>
      </c>
      <c r="B14" s="121" t="s">
        <v>101</v>
      </c>
      <c r="C14" s="248">
        <f t="shared" si="0"/>
        <v>95</v>
      </c>
      <c r="D14" s="251">
        <f t="shared" si="1"/>
        <v>53</v>
      </c>
      <c r="E14" s="353">
        <v>3</v>
      </c>
      <c r="F14" s="329">
        <v>0</v>
      </c>
      <c r="G14" s="351">
        <f>1+1+1</f>
        <v>3</v>
      </c>
      <c r="H14" s="49">
        <v>1</v>
      </c>
      <c r="I14" s="353">
        <v>2</v>
      </c>
      <c r="J14" s="329">
        <v>1</v>
      </c>
      <c r="K14" s="351">
        <f>2+2</f>
        <v>4</v>
      </c>
      <c r="L14" s="49">
        <v>1</v>
      </c>
      <c r="M14" s="353">
        <f>1+2+1+4</f>
        <v>8</v>
      </c>
      <c r="N14" s="329">
        <v>2</v>
      </c>
      <c r="O14" s="351">
        <v>1</v>
      </c>
      <c r="P14" s="49">
        <v>0</v>
      </c>
      <c r="Q14" s="353">
        <v>3</v>
      </c>
      <c r="R14" s="329">
        <v>4</v>
      </c>
      <c r="S14" s="351">
        <f>1+1+1</f>
        <v>3</v>
      </c>
      <c r="T14" s="49">
        <v>1</v>
      </c>
      <c r="U14" s="353">
        <v>0</v>
      </c>
      <c r="V14" s="329">
        <v>2</v>
      </c>
      <c r="W14" s="351">
        <v>3</v>
      </c>
      <c r="X14" s="49">
        <v>0</v>
      </c>
      <c r="Y14" s="361">
        <f>2+5+1+1</f>
        <v>9</v>
      </c>
      <c r="Z14" s="329">
        <v>6</v>
      </c>
      <c r="AA14" s="358">
        <v>9</v>
      </c>
      <c r="AB14" s="49">
        <v>1</v>
      </c>
      <c r="AC14" s="361">
        <f>2+1</f>
        <v>3</v>
      </c>
      <c r="AD14" s="329">
        <v>0</v>
      </c>
      <c r="AE14" s="358">
        <f>14+9+17+4</f>
        <v>44</v>
      </c>
      <c r="AF14" s="49">
        <f>9+3+7+15</f>
        <v>34</v>
      </c>
      <c r="AG14" s="364">
        <v>0</v>
      </c>
      <c r="AH14" s="148">
        <v>0</v>
      </c>
    </row>
    <row r="15" spans="1:34" ht="64.5" customHeight="1">
      <c r="A15" s="124">
        <v>9</v>
      </c>
      <c r="B15" s="120" t="s">
        <v>102</v>
      </c>
      <c r="C15" s="248">
        <f t="shared" si="0"/>
        <v>5</v>
      </c>
      <c r="D15" s="250">
        <f t="shared" si="1"/>
        <v>8</v>
      </c>
      <c r="E15" s="353">
        <v>0</v>
      </c>
      <c r="F15" s="329">
        <v>0</v>
      </c>
      <c r="G15" s="351">
        <v>1</v>
      </c>
      <c r="H15" s="49">
        <v>1</v>
      </c>
      <c r="I15" s="353">
        <v>0</v>
      </c>
      <c r="J15" s="329">
        <v>0</v>
      </c>
      <c r="K15" s="351">
        <v>0</v>
      </c>
      <c r="L15" s="49">
        <v>1</v>
      </c>
      <c r="M15" s="353">
        <f>1+1</f>
        <v>2</v>
      </c>
      <c r="N15" s="329">
        <v>0</v>
      </c>
      <c r="O15" s="351">
        <v>0</v>
      </c>
      <c r="P15" s="49">
        <v>0</v>
      </c>
      <c r="Q15" s="353">
        <v>0</v>
      </c>
      <c r="R15" s="329">
        <v>0</v>
      </c>
      <c r="S15" s="351">
        <v>0</v>
      </c>
      <c r="T15" s="49">
        <v>1</v>
      </c>
      <c r="U15" s="353">
        <v>0</v>
      </c>
      <c r="V15" s="329">
        <v>0</v>
      </c>
      <c r="W15" s="351">
        <v>0</v>
      </c>
      <c r="X15" s="49">
        <v>0</v>
      </c>
      <c r="Y15" s="361">
        <v>0</v>
      </c>
      <c r="Z15" s="329">
        <v>2</v>
      </c>
      <c r="AA15" s="358">
        <v>1</v>
      </c>
      <c r="AB15" s="49">
        <v>1</v>
      </c>
      <c r="AC15" s="361">
        <v>0</v>
      </c>
      <c r="AD15" s="329">
        <v>0</v>
      </c>
      <c r="AE15" s="358">
        <v>1</v>
      </c>
      <c r="AF15" s="49">
        <f>1+1</f>
        <v>2</v>
      </c>
      <c r="AG15" s="364">
        <v>0</v>
      </c>
      <c r="AH15" s="148">
        <v>0</v>
      </c>
    </row>
    <row r="16" spans="1:34" ht="64.5" customHeight="1">
      <c r="A16" s="124">
        <v>10</v>
      </c>
      <c r="B16" s="120" t="s">
        <v>103</v>
      </c>
      <c r="C16" s="248">
        <f t="shared" si="0"/>
        <v>28</v>
      </c>
      <c r="D16" s="251">
        <f t="shared" si="1"/>
        <v>19</v>
      </c>
      <c r="E16" s="353">
        <v>0</v>
      </c>
      <c r="F16" s="329">
        <v>2</v>
      </c>
      <c r="G16" s="351">
        <v>0</v>
      </c>
      <c r="H16" s="49">
        <v>1</v>
      </c>
      <c r="I16" s="353">
        <v>0</v>
      </c>
      <c r="J16" s="329">
        <v>0</v>
      </c>
      <c r="K16" s="351">
        <v>0</v>
      </c>
      <c r="L16" s="49">
        <v>1</v>
      </c>
      <c r="M16" s="353">
        <f>3+1</f>
        <v>4</v>
      </c>
      <c r="N16" s="329">
        <v>1</v>
      </c>
      <c r="O16" s="351">
        <v>0</v>
      </c>
      <c r="P16" s="49">
        <v>1</v>
      </c>
      <c r="Q16" s="353">
        <v>0</v>
      </c>
      <c r="R16" s="329">
        <v>0</v>
      </c>
      <c r="S16" s="351">
        <f>1+1</f>
        <v>2</v>
      </c>
      <c r="T16" s="49">
        <f>1+2</f>
        <v>3</v>
      </c>
      <c r="U16" s="353">
        <v>0</v>
      </c>
      <c r="V16" s="329">
        <v>0</v>
      </c>
      <c r="W16" s="351">
        <v>0</v>
      </c>
      <c r="X16" s="49">
        <v>1</v>
      </c>
      <c r="Y16" s="361">
        <f>5+3</f>
        <v>8</v>
      </c>
      <c r="Z16" s="329">
        <v>3</v>
      </c>
      <c r="AA16" s="358">
        <f>1+2</f>
        <v>3</v>
      </c>
      <c r="AB16" s="49">
        <v>3</v>
      </c>
      <c r="AC16" s="361">
        <v>0</v>
      </c>
      <c r="AD16" s="329">
        <v>1</v>
      </c>
      <c r="AE16" s="358">
        <f>5+3+2+1</f>
        <v>11</v>
      </c>
      <c r="AF16" s="49">
        <v>2</v>
      </c>
      <c r="AG16" s="364">
        <v>0</v>
      </c>
      <c r="AH16" s="148">
        <v>0</v>
      </c>
    </row>
    <row r="17" spans="1:34" ht="64.5" customHeight="1">
      <c r="A17" s="124">
        <v>11</v>
      </c>
      <c r="B17" s="120" t="s">
        <v>104</v>
      </c>
      <c r="C17" s="248">
        <f t="shared" si="0"/>
        <v>622</v>
      </c>
      <c r="D17" s="251">
        <f t="shared" si="1"/>
        <v>685</v>
      </c>
      <c r="E17" s="353">
        <f>16+11+2+3</f>
        <v>32</v>
      </c>
      <c r="F17" s="329">
        <f>2+12+19+2</f>
        <v>35</v>
      </c>
      <c r="G17" s="351">
        <f>19+15+8+8</f>
        <v>50</v>
      </c>
      <c r="H17" s="49">
        <f>13+15+14+10</f>
        <v>52</v>
      </c>
      <c r="I17" s="353">
        <f>34+7+2+3</f>
        <v>46</v>
      </c>
      <c r="J17" s="329">
        <f>8+2</f>
        <v>10</v>
      </c>
      <c r="K17" s="351">
        <f>16+9+2+6</f>
        <v>33</v>
      </c>
      <c r="L17" s="49">
        <f>16+2+6+15</f>
        <v>39</v>
      </c>
      <c r="M17" s="353">
        <f>18+20+17+19</f>
        <v>74</v>
      </c>
      <c r="N17" s="329">
        <f>76+38+30+28</f>
        <v>172</v>
      </c>
      <c r="O17" s="351">
        <f>10+5+1</f>
        <v>16</v>
      </c>
      <c r="P17" s="49">
        <f>1+5+2+4</f>
        <v>12</v>
      </c>
      <c r="Q17" s="353">
        <f>21+10+1+5</f>
        <v>37</v>
      </c>
      <c r="R17" s="329">
        <f>8+6+1+8</f>
        <v>23</v>
      </c>
      <c r="S17" s="351">
        <f>27+13+11+5</f>
        <v>56</v>
      </c>
      <c r="T17" s="49">
        <f>18+16+23+20</f>
        <v>77</v>
      </c>
      <c r="U17" s="353">
        <f>6+5+1+3</f>
        <v>15</v>
      </c>
      <c r="V17" s="329">
        <f>3+3+1+1</f>
        <v>8</v>
      </c>
      <c r="W17" s="351">
        <f>42+9+8+10</f>
        <v>69</v>
      </c>
      <c r="X17" s="49">
        <f>6+17+14+11</f>
        <v>48</v>
      </c>
      <c r="Y17" s="361">
        <f>18+19+8+12</f>
        <v>57</v>
      </c>
      <c r="Z17" s="329">
        <f>13+16+10+17</f>
        <v>56</v>
      </c>
      <c r="AA17" s="358">
        <f>17+17+10+7</f>
        <v>51</v>
      </c>
      <c r="AB17" s="49">
        <f>10+18+5+19</f>
        <v>52</v>
      </c>
      <c r="AC17" s="361">
        <f>22+3+5</f>
        <v>30</v>
      </c>
      <c r="AD17" s="329">
        <v>10</v>
      </c>
      <c r="AE17" s="358">
        <f>15+8+11+22</f>
        <v>56</v>
      </c>
      <c r="AF17" s="49">
        <f>29+29+22+11</f>
        <v>91</v>
      </c>
      <c r="AG17" s="364">
        <v>0</v>
      </c>
      <c r="AH17" s="148">
        <v>0</v>
      </c>
    </row>
    <row r="18" spans="1:34" ht="64.5" customHeight="1">
      <c r="A18" s="124">
        <v>12</v>
      </c>
      <c r="B18" s="120" t="s">
        <v>105</v>
      </c>
      <c r="C18" s="248">
        <f t="shared" si="0"/>
        <v>226</v>
      </c>
      <c r="D18" s="250">
        <f t="shared" si="1"/>
        <v>177</v>
      </c>
      <c r="E18" s="353">
        <f>2+1</f>
        <v>3</v>
      </c>
      <c r="F18" s="329">
        <f>1+5+2+2</f>
        <v>10</v>
      </c>
      <c r="G18" s="351">
        <f>4+1</f>
        <v>5</v>
      </c>
      <c r="H18" s="49">
        <f>2+1</f>
        <v>3</v>
      </c>
      <c r="I18" s="353">
        <f>1+1+4+2</f>
        <v>8</v>
      </c>
      <c r="J18" s="329">
        <f>7+1</f>
        <v>8</v>
      </c>
      <c r="K18" s="351">
        <f>2+4</f>
        <v>6</v>
      </c>
      <c r="L18" s="49">
        <f>1+1+1+6</f>
        <v>9</v>
      </c>
      <c r="M18" s="353">
        <f>2+3</f>
        <v>5</v>
      </c>
      <c r="N18" s="329">
        <f>2+1+2</f>
        <v>5</v>
      </c>
      <c r="O18" s="351">
        <v>1</v>
      </c>
      <c r="P18" s="49">
        <f>3+4</f>
        <v>7</v>
      </c>
      <c r="Q18" s="353">
        <v>3</v>
      </c>
      <c r="R18" s="329">
        <f>5+1</f>
        <v>6</v>
      </c>
      <c r="S18" s="351">
        <f>26+2+3</f>
        <v>31</v>
      </c>
      <c r="T18" s="49">
        <f>6+1+1+2</f>
        <v>10</v>
      </c>
      <c r="U18" s="353">
        <v>1</v>
      </c>
      <c r="V18" s="329">
        <f>2+1+3</f>
        <v>6</v>
      </c>
      <c r="W18" s="351">
        <f>1+1+12+1</f>
        <v>15</v>
      </c>
      <c r="X18" s="49">
        <v>5</v>
      </c>
      <c r="Y18" s="361">
        <f>24+21+11+16</f>
        <v>72</v>
      </c>
      <c r="Z18" s="329">
        <f>19+6+14+7</f>
        <v>46</v>
      </c>
      <c r="AA18" s="358">
        <f>4+1+4</f>
        <v>9</v>
      </c>
      <c r="AB18" s="49">
        <f>5+6</f>
        <v>11</v>
      </c>
      <c r="AC18" s="361">
        <f>8+1+1+1</f>
        <v>11</v>
      </c>
      <c r="AD18" s="329">
        <f>2+10</f>
        <v>12</v>
      </c>
      <c r="AE18" s="358">
        <f>14+18+11+13</f>
        <v>56</v>
      </c>
      <c r="AF18" s="49">
        <f>16+11+6+6</f>
        <v>39</v>
      </c>
      <c r="AG18" s="364">
        <v>0</v>
      </c>
      <c r="AH18" s="148">
        <v>0</v>
      </c>
    </row>
    <row r="19" spans="1:34" ht="64.5" customHeight="1" thickBot="1">
      <c r="A19" s="124">
        <v>13</v>
      </c>
      <c r="B19" s="120" t="s">
        <v>106</v>
      </c>
      <c r="C19" s="301">
        <f t="shared" si="0"/>
        <v>216</v>
      </c>
      <c r="D19" s="302">
        <f t="shared" si="1"/>
        <v>219</v>
      </c>
      <c r="E19" s="354">
        <f>2+3+2</f>
        <v>7</v>
      </c>
      <c r="F19" s="331">
        <f>12+6</f>
        <v>18</v>
      </c>
      <c r="G19" s="356">
        <f>1+4+3+1</f>
        <v>9</v>
      </c>
      <c r="H19" s="305">
        <f>2+5+1+6</f>
        <v>14</v>
      </c>
      <c r="I19" s="354">
        <f>4+1+3</f>
        <v>8</v>
      </c>
      <c r="J19" s="331">
        <f>3+3</f>
        <v>6</v>
      </c>
      <c r="K19" s="356">
        <f>1+5+2+1</f>
        <v>9</v>
      </c>
      <c r="L19" s="305">
        <f>4+2+1</f>
        <v>7</v>
      </c>
      <c r="M19" s="354">
        <f>3+3+4</f>
        <v>10</v>
      </c>
      <c r="N19" s="331">
        <f>1+12+4+1</f>
        <v>18</v>
      </c>
      <c r="O19" s="356">
        <f>1+5+1</f>
        <v>7</v>
      </c>
      <c r="P19" s="305">
        <f>2+1+2</f>
        <v>5</v>
      </c>
      <c r="Q19" s="354">
        <f>1+3+2+6</f>
        <v>12</v>
      </c>
      <c r="R19" s="331">
        <v>4</v>
      </c>
      <c r="S19" s="356">
        <f>6+12+1</f>
        <v>19</v>
      </c>
      <c r="T19" s="305">
        <f>8+5</f>
        <v>13</v>
      </c>
      <c r="U19" s="354">
        <v>4</v>
      </c>
      <c r="V19" s="331">
        <v>4</v>
      </c>
      <c r="W19" s="356">
        <f>2+2+5+3</f>
        <v>12</v>
      </c>
      <c r="X19" s="305">
        <f>4+12+1+2</f>
        <v>19</v>
      </c>
      <c r="Y19" s="362">
        <f>9+3</f>
        <v>12</v>
      </c>
      <c r="Z19" s="331">
        <f>5+2+3</f>
        <v>10</v>
      </c>
      <c r="AA19" s="359">
        <f>1+3+4</f>
        <v>8</v>
      </c>
      <c r="AB19" s="305">
        <f>10+4</f>
        <v>14</v>
      </c>
      <c r="AC19" s="362">
        <f>3+1+3</f>
        <v>7</v>
      </c>
      <c r="AD19" s="331">
        <v>4</v>
      </c>
      <c r="AE19" s="359">
        <f>24+20+20+23</f>
        <v>87</v>
      </c>
      <c r="AF19" s="305">
        <f>19+19+25+12</f>
        <v>75</v>
      </c>
      <c r="AG19" s="365">
        <f>2+1+1+1</f>
        <v>5</v>
      </c>
      <c r="AH19" s="309">
        <f>3+1+2+2</f>
        <v>8</v>
      </c>
    </row>
    <row r="20" spans="1:34" ht="64.5" customHeight="1" thickBot="1">
      <c r="A20" s="459" t="s">
        <v>58</v>
      </c>
      <c r="B20" s="460"/>
      <c r="C20" s="252">
        <f t="shared" si="0"/>
        <v>1393</v>
      </c>
      <c r="D20" s="253">
        <f t="shared" si="1"/>
        <v>1372</v>
      </c>
      <c r="E20" s="303">
        <f>SUM(E7:E19)</f>
        <v>63</v>
      </c>
      <c r="F20" s="304">
        <f aca="true" t="shared" si="2" ref="F20:AG20">SUM(F7:F19)</f>
        <v>84</v>
      </c>
      <c r="G20" s="306">
        <f t="shared" si="2"/>
        <v>81</v>
      </c>
      <c r="H20" s="307">
        <f t="shared" si="2"/>
        <v>78</v>
      </c>
      <c r="I20" s="303">
        <f t="shared" si="2"/>
        <v>77</v>
      </c>
      <c r="J20" s="304">
        <f t="shared" si="2"/>
        <v>36</v>
      </c>
      <c r="K20" s="306">
        <f t="shared" si="2"/>
        <v>58</v>
      </c>
      <c r="L20" s="307">
        <f t="shared" si="2"/>
        <v>67</v>
      </c>
      <c r="M20" s="303">
        <f t="shared" si="2"/>
        <v>117</v>
      </c>
      <c r="N20" s="304">
        <f t="shared" si="2"/>
        <v>219</v>
      </c>
      <c r="O20" s="306">
        <f t="shared" si="2"/>
        <v>32</v>
      </c>
      <c r="P20" s="307">
        <f t="shared" si="2"/>
        <v>35</v>
      </c>
      <c r="Q20" s="303">
        <f t="shared" si="2"/>
        <v>66</v>
      </c>
      <c r="R20" s="304">
        <f t="shared" si="2"/>
        <v>42</v>
      </c>
      <c r="S20" s="306">
        <f t="shared" si="2"/>
        <v>124</v>
      </c>
      <c r="T20" s="307">
        <f>SUM(T7:T19)</f>
        <v>111</v>
      </c>
      <c r="U20" s="303">
        <f t="shared" si="2"/>
        <v>34</v>
      </c>
      <c r="V20" s="304">
        <f t="shared" si="2"/>
        <v>24</v>
      </c>
      <c r="W20" s="306">
        <f t="shared" si="2"/>
        <v>106</v>
      </c>
      <c r="X20" s="307">
        <f t="shared" si="2"/>
        <v>86</v>
      </c>
      <c r="Y20" s="303">
        <f t="shared" si="2"/>
        <v>178</v>
      </c>
      <c r="Z20" s="304">
        <f t="shared" si="2"/>
        <v>136</v>
      </c>
      <c r="AA20" s="306">
        <f t="shared" si="2"/>
        <v>86</v>
      </c>
      <c r="AB20" s="307">
        <f>SUM(AB7:AB19)</f>
        <v>97</v>
      </c>
      <c r="AC20" s="303">
        <f t="shared" si="2"/>
        <v>60</v>
      </c>
      <c r="AD20" s="304">
        <f>SUM(AD7:AD19)</f>
        <v>39</v>
      </c>
      <c r="AE20" s="306">
        <f t="shared" si="2"/>
        <v>306</v>
      </c>
      <c r="AF20" s="307">
        <f t="shared" si="2"/>
        <v>310</v>
      </c>
      <c r="AG20" s="303">
        <f t="shared" si="2"/>
        <v>5</v>
      </c>
      <c r="AH20" s="308">
        <f>SUM(AH7:AH19)</f>
        <v>8</v>
      </c>
    </row>
    <row r="22" ht="45.75" customHeight="1"/>
    <row r="23" spans="2:32" ht="57" customHeight="1"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</row>
    <row r="24" spans="2:13" ht="35.25">
      <c r="B24" s="51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2:13" ht="35.25">
      <c r="B25" s="5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39" spans="2:13" ht="34.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2:13" ht="35.25">
      <c r="B40" s="5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2:13" ht="35.25">
      <c r="B41" s="51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</sheetData>
  <sheetProtection/>
  <mergeCells count="24">
    <mergeCell ref="M3:P3"/>
    <mergeCell ref="S4:T4"/>
    <mergeCell ref="I4:J4"/>
    <mergeCell ref="K4:L4"/>
    <mergeCell ref="O4:P4"/>
    <mergeCell ref="Q4:R4"/>
    <mergeCell ref="M4:N4"/>
    <mergeCell ref="AC4:AD4"/>
    <mergeCell ref="AE4:AF4"/>
    <mergeCell ref="C4:D4"/>
    <mergeCell ref="E4:F4"/>
    <mergeCell ref="B4:B5"/>
    <mergeCell ref="G4:H4"/>
    <mergeCell ref="U4:V4"/>
    <mergeCell ref="B23:AF23"/>
    <mergeCell ref="AF1:AH1"/>
    <mergeCell ref="W4:X4"/>
    <mergeCell ref="A2:AH2"/>
    <mergeCell ref="Y4:Z4"/>
    <mergeCell ref="AA4:AB4"/>
    <mergeCell ref="A4:A5"/>
    <mergeCell ref="Z3:AH3"/>
    <mergeCell ref="AG4:AH4"/>
    <mergeCell ref="A20:B20"/>
  </mergeCells>
  <printOptions horizontalCentered="1" verticalCentered="1"/>
  <pageMargins left="0.2362204724409449" right="0.1968503937007874" top="0.15748031496062992" bottom="0.35433070866141736" header="0.1968503937007874" footer="0.31496062992125984"/>
  <pageSetup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="85" zoomScaleNormal="55" zoomScaleSheetLayoutView="85" zoomScalePageLayoutView="0" workbookViewId="0" topLeftCell="A13">
      <selection activeCell="L21" sqref="L21"/>
    </sheetView>
  </sheetViews>
  <sheetFormatPr defaultColWidth="9.28125" defaultRowHeight="12.75"/>
  <cols>
    <col min="1" max="1" width="6.00390625" style="92" customWidth="1"/>
    <col min="2" max="2" width="36.8515625" style="92" customWidth="1"/>
    <col min="3" max="4" width="12.7109375" style="92" customWidth="1"/>
    <col min="5" max="6" width="10.7109375" style="92" bestFit="1" customWidth="1"/>
    <col min="7" max="12" width="8.7109375" style="92" customWidth="1"/>
    <col min="13" max="14" width="12.7109375" style="92" customWidth="1"/>
    <col min="15" max="20" width="8.7109375" style="92" customWidth="1"/>
    <col min="21" max="16384" width="9.28125" style="92" customWidth="1"/>
  </cols>
  <sheetData>
    <row r="1" spans="19:20" ht="26.25">
      <c r="S1" s="109"/>
      <c r="T1" s="110"/>
    </row>
    <row r="2" spans="19:20" ht="26.25">
      <c r="S2" s="111" t="s">
        <v>17</v>
      </c>
      <c r="T2" s="110"/>
    </row>
    <row r="3" spans="1:20" ht="30" customHeight="1">
      <c r="A3" s="476" t="s">
        <v>117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</row>
    <row r="4" spans="1:20" ht="22.5" customHeight="1">
      <c r="A4" s="476" t="s">
        <v>82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</row>
    <row r="5" spans="1:20" ht="9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477"/>
      <c r="N5" s="477"/>
      <c r="O5" s="477"/>
      <c r="P5" s="477"/>
      <c r="Q5" s="477"/>
      <c r="R5" s="477"/>
      <c r="S5" s="477"/>
      <c r="T5" s="477"/>
    </row>
    <row r="6" spans="1:20" s="97" customFormat="1" ht="21" customHeight="1" thickBot="1">
      <c r="A6" s="478" t="s">
        <v>0</v>
      </c>
      <c r="B6" s="478" t="s">
        <v>19</v>
      </c>
      <c r="C6" s="467" t="s">
        <v>12</v>
      </c>
      <c r="D6" s="468"/>
      <c r="E6" s="471" t="s">
        <v>4</v>
      </c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3"/>
    </row>
    <row r="7" spans="1:20" s="97" customFormat="1" ht="20.25" customHeight="1" thickBot="1">
      <c r="A7" s="479"/>
      <c r="B7" s="479"/>
      <c r="C7" s="469"/>
      <c r="D7" s="470"/>
      <c r="E7" s="471" t="s">
        <v>83</v>
      </c>
      <c r="F7" s="472"/>
      <c r="G7" s="472"/>
      <c r="H7" s="472"/>
      <c r="I7" s="472"/>
      <c r="J7" s="472"/>
      <c r="K7" s="472"/>
      <c r="L7" s="472"/>
      <c r="M7" s="482" t="s">
        <v>84</v>
      </c>
      <c r="N7" s="483"/>
      <c r="O7" s="483"/>
      <c r="P7" s="483"/>
      <c r="Q7" s="483"/>
      <c r="R7" s="483"/>
      <c r="S7" s="483"/>
      <c r="T7" s="484"/>
    </row>
    <row r="8" spans="1:20" s="97" customFormat="1" ht="31.5" customHeight="1" thickBot="1">
      <c r="A8" s="479"/>
      <c r="B8" s="479"/>
      <c r="C8" s="469"/>
      <c r="D8" s="470"/>
      <c r="E8" s="467" t="s">
        <v>85</v>
      </c>
      <c r="F8" s="468"/>
      <c r="G8" s="471" t="s">
        <v>4</v>
      </c>
      <c r="H8" s="472"/>
      <c r="I8" s="472"/>
      <c r="J8" s="472"/>
      <c r="K8" s="472"/>
      <c r="L8" s="473"/>
      <c r="M8" s="467" t="s">
        <v>85</v>
      </c>
      <c r="N8" s="468"/>
      <c r="O8" s="472" t="s">
        <v>4</v>
      </c>
      <c r="P8" s="472"/>
      <c r="Q8" s="472"/>
      <c r="R8" s="472"/>
      <c r="S8" s="472"/>
      <c r="T8" s="473"/>
    </row>
    <row r="9" spans="1:20" s="97" customFormat="1" ht="29.25" customHeight="1" thickBot="1">
      <c r="A9" s="479"/>
      <c r="B9" s="479"/>
      <c r="C9" s="469"/>
      <c r="D9" s="470"/>
      <c r="E9" s="469"/>
      <c r="F9" s="470"/>
      <c r="G9" s="474" t="s">
        <v>86</v>
      </c>
      <c r="H9" s="470"/>
      <c r="I9" s="474" t="s">
        <v>87</v>
      </c>
      <c r="J9" s="474"/>
      <c r="K9" s="469" t="s">
        <v>88</v>
      </c>
      <c r="L9" s="470"/>
      <c r="M9" s="469"/>
      <c r="N9" s="470"/>
      <c r="O9" s="474" t="s">
        <v>86</v>
      </c>
      <c r="P9" s="470"/>
      <c r="Q9" s="474" t="s">
        <v>87</v>
      </c>
      <c r="R9" s="474"/>
      <c r="S9" s="469" t="s">
        <v>88</v>
      </c>
      <c r="T9" s="470"/>
    </row>
    <row r="10" spans="1:20" s="97" customFormat="1" ht="20.25" customHeight="1" thickBot="1">
      <c r="A10" s="480"/>
      <c r="B10" s="481"/>
      <c r="C10" s="94" t="s">
        <v>110</v>
      </c>
      <c r="D10" s="95" t="s">
        <v>112</v>
      </c>
      <c r="E10" s="94" t="s">
        <v>110</v>
      </c>
      <c r="F10" s="95" t="s">
        <v>112</v>
      </c>
      <c r="G10" s="94" t="s">
        <v>110</v>
      </c>
      <c r="H10" s="95" t="s">
        <v>112</v>
      </c>
      <c r="I10" s="94" t="s">
        <v>110</v>
      </c>
      <c r="J10" s="95" t="s">
        <v>112</v>
      </c>
      <c r="K10" s="94" t="s">
        <v>110</v>
      </c>
      <c r="L10" s="95" t="s">
        <v>112</v>
      </c>
      <c r="M10" s="94" t="s">
        <v>110</v>
      </c>
      <c r="N10" s="95" t="s">
        <v>112</v>
      </c>
      <c r="O10" s="94" t="s">
        <v>110</v>
      </c>
      <c r="P10" s="95" t="s">
        <v>112</v>
      </c>
      <c r="Q10" s="94" t="s">
        <v>110</v>
      </c>
      <c r="R10" s="95" t="s">
        <v>112</v>
      </c>
      <c r="S10" s="94" t="s">
        <v>110</v>
      </c>
      <c r="T10" s="95" t="s">
        <v>112</v>
      </c>
    </row>
    <row r="11" spans="1:20" s="97" customFormat="1" ht="20.25" customHeight="1" thickBot="1">
      <c r="A11" s="107">
        <v>1</v>
      </c>
      <c r="B11" s="108">
        <v>2</v>
      </c>
      <c r="C11" s="131">
        <v>3</v>
      </c>
      <c r="D11" s="132">
        <v>4</v>
      </c>
      <c r="E11" s="129">
        <v>5</v>
      </c>
      <c r="F11" s="130">
        <v>6</v>
      </c>
      <c r="G11" s="131">
        <v>7</v>
      </c>
      <c r="H11" s="133">
        <v>8</v>
      </c>
      <c r="I11" s="131">
        <v>9</v>
      </c>
      <c r="J11" s="132">
        <v>10</v>
      </c>
      <c r="K11" s="129">
        <v>11</v>
      </c>
      <c r="L11" s="130">
        <v>12</v>
      </c>
      <c r="M11" s="131">
        <v>13</v>
      </c>
      <c r="N11" s="133">
        <v>14</v>
      </c>
      <c r="O11" s="131">
        <v>15</v>
      </c>
      <c r="P11" s="132">
        <v>16</v>
      </c>
      <c r="Q11" s="129">
        <v>17</v>
      </c>
      <c r="R11" s="130">
        <v>18</v>
      </c>
      <c r="S11" s="131">
        <v>19</v>
      </c>
      <c r="T11" s="132">
        <v>20</v>
      </c>
    </row>
    <row r="12" spans="1:25" s="97" customFormat="1" ht="39.75" customHeight="1">
      <c r="A12" s="106">
        <v>1</v>
      </c>
      <c r="B12" s="98" t="s">
        <v>20</v>
      </c>
      <c r="C12" s="189">
        <f>E12+M12</f>
        <v>63</v>
      </c>
      <c r="D12" s="180">
        <f>F12+N12</f>
        <v>84</v>
      </c>
      <c r="E12" s="177">
        <f>G12+I12+K12</f>
        <v>55</v>
      </c>
      <c r="F12" s="178">
        <f>H12+J12+L12</f>
        <v>82</v>
      </c>
      <c r="G12" s="298">
        <f>1+11+4+6</f>
        <v>22</v>
      </c>
      <c r="H12" s="178">
        <v>56</v>
      </c>
      <c r="I12" s="180">
        <f>22+7+2+2</f>
        <v>33</v>
      </c>
      <c r="J12" s="179">
        <v>24</v>
      </c>
      <c r="K12" s="179">
        <v>0</v>
      </c>
      <c r="L12" s="180">
        <v>2</v>
      </c>
      <c r="M12" s="177">
        <f>O12+Q12+S12</f>
        <v>8</v>
      </c>
      <c r="N12" s="178">
        <f>P12+R12+T12</f>
        <v>2</v>
      </c>
      <c r="O12" s="179">
        <f>2+5</f>
        <v>7</v>
      </c>
      <c r="P12" s="269">
        <v>2</v>
      </c>
      <c r="Q12" s="179">
        <v>1</v>
      </c>
      <c r="R12" s="269">
        <v>0</v>
      </c>
      <c r="S12" s="179">
        <v>0</v>
      </c>
      <c r="T12" s="269">
        <v>0</v>
      </c>
      <c r="U12" s="99"/>
      <c r="V12" s="96"/>
      <c r="W12" s="100"/>
      <c r="X12" s="96"/>
      <c r="Y12" s="100"/>
    </row>
    <row r="13" spans="1:25" s="97" customFormat="1" ht="37.5" customHeight="1">
      <c r="A13" s="101">
        <v>2</v>
      </c>
      <c r="B13" s="102" t="s">
        <v>21</v>
      </c>
      <c r="C13" s="190">
        <f aca="true" t="shared" si="0" ref="C13:C27">E13+M13</f>
        <v>81</v>
      </c>
      <c r="D13" s="183">
        <f aca="true" t="shared" si="1" ref="D13:D26">F13+N13</f>
        <v>78</v>
      </c>
      <c r="E13" s="191">
        <f aca="true" t="shared" si="2" ref="E13:E27">G13+I13+K13</f>
        <v>75</v>
      </c>
      <c r="F13" s="181">
        <f aca="true" t="shared" si="3" ref="F13:F27">H13+J13+L13</f>
        <v>73</v>
      </c>
      <c r="G13" s="299">
        <f>6+14+8+10</f>
        <v>38</v>
      </c>
      <c r="H13" s="181">
        <v>45</v>
      </c>
      <c r="I13" s="183">
        <f>15+8+3+3</f>
        <v>29</v>
      </c>
      <c r="J13" s="182">
        <v>27</v>
      </c>
      <c r="K13" s="182">
        <v>8</v>
      </c>
      <c r="L13" s="183">
        <v>1</v>
      </c>
      <c r="M13" s="191">
        <f aca="true" t="shared" si="4" ref="M13:M27">O13+Q13+S13</f>
        <v>6</v>
      </c>
      <c r="N13" s="181">
        <f aca="true" t="shared" si="5" ref="N13:N27">P13+R13+T13</f>
        <v>5</v>
      </c>
      <c r="O13" s="182">
        <f>1+2+2+1</f>
        <v>6</v>
      </c>
      <c r="P13" s="270">
        <f>2+1+2</f>
        <v>5</v>
      </c>
      <c r="Q13" s="182">
        <v>0</v>
      </c>
      <c r="R13" s="270">
        <v>0</v>
      </c>
      <c r="S13" s="182">
        <v>0</v>
      </c>
      <c r="T13" s="270">
        <v>0</v>
      </c>
      <c r="U13" s="99"/>
      <c r="V13" s="96"/>
      <c r="W13" s="100"/>
      <c r="X13" s="96"/>
      <c r="Y13" s="100"/>
    </row>
    <row r="14" spans="1:25" s="97" customFormat="1" ht="37.5" customHeight="1">
      <c r="A14" s="101">
        <v>3</v>
      </c>
      <c r="B14" s="102" t="s">
        <v>22</v>
      </c>
      <c r="C14" s="190">
        <f t="shared" si="0"/>
        <v>77</v>
      </c>
      <c r="D14" s="183">
        <f t="shared" si="1"/>
        <v>36</v>
      </c>
      <c r="E14" s="191">
        <f t="shared" si="2"/>
        <v>69</v>
      </c>
      <c r="F14" s="181">
        <f t="shared" si="3"/>
        <v>32</v>
      </c>
      <c r="G14" s="299">
        <f>12+7+10+6</f>
        <v>35</v>
      </c>
      <c r="H14" s="181">
        <v>23</v>
      </c>
      <c r="I14" s="183">
        <f>27+5+2</f>
        <v>34</v>
      </c>
      <c r="J14" s="182">
        <v>9</v>
      </c>
      <c r="K14" s="182">
        <v>0</v>
      </c>
      <c r="L14" s="183">
        <v>0</v>
      </c>
      <c r="M14" s="191">
        <f t="shared" si="4"/>
        <v>8</v>
      </c>
      <c r="N14" s="181">
        <f t="shared" si="5"/>
        <v>4</v>
      </c>
      <c r="O14" s="182">
        <f>3+4</f>
        <v>7</v>
      </c>
      <c r="P14" s="270">
        <v>3</v>
      </c>
      <c r="Q14" s="182">
        <v>0</v>
      </c>
      <c r="R14" s="270">
        <v>1</v>
      </c>
      <c r="S14" s="182">
        <v>1</v>
      </c>
      <c r="T14" s="270">
        <v>0</v>
      </c>
      <c r="U14" s="99"/>
      <c r="V14" s="96"/>
      <c r="W14" s="100"/>
      <c r="X14" s="96"/>
      <c r="Y14" s="100"/>
    </row>
    <row r="15" spans="1:25" s="97" customFormat="1" ht="37.5" customHeight="1">
      <c r="A15" s="101">
        <v>4</v>
      </c>
      <c r="B15" s="102" t="s">
        <v>23</v>
      </c>
      <c r="C15" s="190">
        <f t="shared" si="0"/>
        <v>58</v>
      </c>
      <c r="D15" s="183">
        <f t="shared" si="1"/>
        <v>67</v>
      </c>
      <c r="E15" s="191">
        <f t="shared" si="2"/>
        <v>56</v>
      </c>
      <c r="F15" s="181">
        <f t="shared" si="3"/>
        <v>65</v>
      </c>
      <c r="G15" s="299">
        <f>4+7+3+9</f>
        <v>23</v>
      </c>
      <c r="H15" s="181">
        <v>46</v>
      </c>
      <c r="I15" s="183">
        <f>19+7+2+3</f>
        <v>31</v>
      </c>
      <c r="J15" s="182">
        <v>18</v>
      </c>
      <c r="K15" s="182">
        <v>2</v>
      </c>
      <c r="L15" s="183">
        <v>1</v>
      </c>
      <c r="M15" s="191">
        <f t="shared" si="4"/>
        <v>2</v>
      </c>
      <c r="N15" s="181">
        <f t="shared" si="5"/>
        <v>2</v>
      </c>
      <c r="O15" s="182">
        <v>1</v>
      </c>
      <c r="P15" s="270">
        <v>1</v>
      </c>
      <c r="Q15" s="182">
        <v>1</v>
      </c>
      <c r="R15" s="270">
        <v>1</v>
      </c>
      <c r="S15" s="182">
        <v>0</v>
      </c>
      <c r="T15" s="270">
        <v>0</v>
      </c>
      <c r="U15" s="99"/>
      <c r="V15" s="96"/>
      <c r="W15" s="100"/>
      <c r="X15" s="96"/>
      <c r="Y15" s="100"/>
    </row>
    <row r="16" spans="1:25" s="97" customFormat="1" ht="37.5" customHeight="1">
      <c r="A16" s="101">
        <v>5</v>
      </c>
      <c r="B16" s="102" t="s">
        <v>24</v>
      </c>
      <c r="C16" s="190">
        <f t="shared" si="0"/>
        <v>117</v>
      </c>
      <c r="D16" s="183">
        <f t="shared" si="1"/>
        <v>219</v>
      </c>
      <c r="E16" s="191">
        <f t="shared" si="2"/>
        <v>112</v>
      </c>
      <c r="F16" s="181">
        <f t="shared" si="3"/>
        <v>211</v>
      </c>
      <c r="G16" s="299">
        <f>14+24+14+25</f>
        <v>77</v>
      </c>
      <c r="H16" s="181">
        <v>149</v>
      </c>
      <c r="I16" s="183">
        <f>14+9+8+4</f>
        <v>35</v>
      </c>
      <c r="J16" s="182">
        <v>61</v>
      </c>
      <c r="K16" s="182">
        <v>0</v>
      </c>
      <c r="L16" s="183">
        <v>1</v>
      </c>
      <c r="M16" s="191">
        <f t="shared" si="4"/>
        <v>5</v>
      </c>
      <c r="N16" s="181">
        <f t="shared" si="5"/>
        <v>8</v>
      </c>
      <c r="O16" s="182">
        <f>1+2+2</f>
        <v>5</v>
      </c>
      <c r="P16" s="270">
        <f>2+4+1</f>
        <v>7</v>
      </c>
      <c r="Q16" s="182">
        <v>0</v>
      </c>
      <c r="R16" s="270">
        <v>1</v>
      </c>
      <c r="S16" s="182">
        <v>0</v>
      </c>
      <c r="T16" s="270">
        <v>0</v>
      </c>
      <c r="U16" s="99"/>
      <c r="V16" s="96"/>
      <c r="W16" s="100"/>
      <c r="X16" s="96"/>
      <c r="Y16" s="100"/>
    </row>
    <row r="17" spans="1:25" s="97" customFormat="1" ht="37.5" customHeight="1">
      <c r="A17" s="101">
        <v>6</v>
      </c>
      <c r="B17" s="102" t="s">
        <v>25</v>
      </c>
      <c r="C17" s="190">
        <f t="shared" si="0"/>
        <v>32</v>
      </c>
      <c r="D17" s="183">
        <f t="shared" si="1"/>
        <v>35</v>
      </c>
      <c r="E17" s="191">
        <f t="shared" si="2"/>
        <v>30</v>
      </c>
      <c r="F17" s="181">
        <f t="shared" si="3"/>
        <v>32</v>
      </c>
      <c r="G17" s="299">
        <f>4+9+2</f>
        <v>15</v>
      </c>
      <c r="H17" s="181">
        <v>22</v>
      </c>
      <c r="I17" s="183">
        <f>7+1+1+1</f>
        <v>10</v>
      </c>
      <c r="J17" s="182">
        <f>4+2+4</f>
        <v>10</v>
      </c>
      <c r="K17" s="182">
        <v>5</v>
      </c>
      <c r="L17" s="183">
        <v>0</v>
      </c>
      <c r="M17" s="191">
        <f t="shared" si="4"/>
        <v>2</v>
      </c>
      <c r="N17" s="181">
        <f t="shared" si="5"/>
        <v>3</v>
      </c>
      <c r="O17" s="182">
        <f>1+1</f>
        <v>2</v>
      </c>
      <c r="P17" s="270">
        <v>3</v>
      </c>
      <c r="Q17" s="182">
        <v>0</v>
      </c>
      <c r="R17" s="270">
        <v>0</v>
      </c>
      <c r="S17" s="182">
        <v>0</v>
      </c>
      <c r="T17" s="270">
        <v>0</v>
      </c>
      <c r="U17" s="99"/>
      <c r="V17" s="96"/>
      <c r="W17" s="100"/>
      <c r="X17" s="96"/>
      <c r="Y17" s="100"/>
    </row>
    <row r="18" spans="1:25" s="97" customFormat="1" ht="37.5" customHeight="1">
      <c r="A18" s="101">
        <v>7</v>
      </c>
      <c r="B18" s="102" t="s">
        <v>26</v>
      </c>
      <c r="C18" s="190">
        <f t="shared" si="0"/>
        <v>66</v>
      </c>
      <c r="D18" s="183">
        <f t="shared" si="1"/>
        <v>42</v>
      </c>
      <c r="E18" s="191">
        <f t="shared" si="2"/>
        <v>56</v>
      </c>
      <c r="F18" s="181">
        <f t="shared" si="3"/>
        <v>41</v>
      </c>
      <c r="G18" s="299">
        <f>3+6+5+9</f>
        <v>23</v>
      </c>
      <c r="H18" s="181">
        <v>28</v>
      </c>
      <c r="I18" s="183">
        <f>19+8+1+4</f>
        <v>32</v>
      </c>
      <c r="J18" s="182">
        <v>11</v>
      </c>
      <c r="K18" s="182">
        <v>1</v>
      </c>
      <c r="L18" s="183">
        <v>2</v>
      </c>
      <c r="M18" s="191">
        <f t="shared" si="4"/>
        <v>10</v>
      </c>
      <c r="N18" s="181">
        <f t="shared" si="5"/>
        <v>1</v>
      </c>
      <c r="O18" s="182">
        <f>3+3+2+1</f>
        <v>9</v>
      </c>
      <c r="P18" s="270">
        <v>0</v>
      </c>
      <c r="Q18" s="182">
        <v>1</v>
      </c>
      <c r="R18" s="270">
        <v>1</v>
      </c>
      <c r="S18" s="182">
        <v>0</v>
      </c>
      <c r="T18" s="270">
        <v>0</v>
      </c>
      <c r="U18" s="99"/>
      <c r="V18" s="96"/>
      <c r="W18" s="100"/>
      <c r="X18" s="96"/>
      <c r="Y18" s="100"/>
    </row>
    <row r="19" spans="1:25" s="97" customFormat="1" ht="37.5" customHeight="1">
      <c r="A19" s="101">
        <v>8</v>
      </c>
      <c r="B19" s="102" t="s">
        <v>27</v>
      </c>
      <c r="C19" s="190">
        <f t="shared" si="0"/>
        <v>124</v>
      </c>
      <c r="D19" s="183">
        <f t="shared" si="1"/>
        <v>111</v>
      </c>
      <c r="E19" s="191">
        <f t="shared" si="2"/>
        <v>100</v>
      </c>
      <c r="F19" s="181">
        <f t="shared" si="3"/>
        <v>109</v>
      </c>
      <c r="G19" s="299">
        <f>21+15+7+7</f>
        <v>50</v>
      </c>
      <c r="H19" s="181">
        <v>81</v>
      </c>
      <c r="I19" s="183">
        <f>28+7+8+4</f>
        <v>47</v>
      </c>
      <c r="J19" s="182">
        <v>27</v>
      </c>
      <c r="K19" s="182">
        <f>2+1</f>
        <v>3</v>
      </c>
      <c r="L19" s="183">
        <v>1</v>
      </c>
      <c r="M19" s="191">
        <f t="shared" si="4"/>
        <v>24</v>
      </c>
      <c r="N19" s="181">
        <f t="shared" si="5"/>
        <v>2</v>
      </c>
      <c r="O19" s="182">
        <f>18+6</f>
        <v>24</v>
      </c>
      <c r="P19" s="270">
        <v>1</v>
      </c>
      <c r="Q19" s="182">
        <v>0</v>
      </c>
      <c r="R19" s="270">
        <v>1</v>
      </c>
      <c r="S19" s="182">
        <v>0</v>
      </c>
      <c r="T19" s="270">
        <v>0</v>
      </c>
      <c r="U19" s="99"/>
      <c r="V19" s="96"/>
      <c r="W19" s="100"/>
      <c r="X19" s="96"/>
      <c r="Y19" s="100"/>
    </row>
    <row r="20" spans="1:25" s="97" customFormat="1" ht="37.5" customHeight="1">
      <c r="A20" s="101">
        <v>9</v>
      </c>
      <c r="B20" s="102" t="s">
        <v>28</v>
      </c>
      <c r="C20" s="190">
        <f t="shared" si="0"/>
        <v>34</v>
      </c>
      <c r="D20" s="183">
        <f t="shared" si="1"/>
        <v>24</v>
      </c>
      <c r="E20" s="191">
        <f t="shared" si="2"/>
        <v>34</v>
      </c>
      <c r="F20" s="181">
        <f t="shared" si="3"/>
        <v>21</v>
      </c>
      <c r="G20" s="299">
        <f>1+7+3+8</f>
        <v>19</v>
      </c>
      <c r="H20" s="181">
        <v>14</v>
      </c>
      <c r="I20" s="183">
        <f>7+4+1+2</f>
        <v>14</v>
      </c>
      <c r="J20" s="182">
        <f>4+1+1</f>
        <v>6</v>
      </c>
      <c r="K20" s="182">
        <v>1</v>
      </c>
      <c r="L20" s="183">
        <v>1</v>
      </c>
      <c r="M20" s="191">
        <f t="shared" si="4"/>
        <v>0</v>
      </c>
      <c r="N20" s="181">
        <f t="shared" si="5"/>
        <v>3</v>
      </c>
      <c r="O20" s="182">
        <v>0</v>
      </c>
      <c r="P20" s="270">
        <v>2</v>
      </c>
      <c r="Q20" s="182">
        <v>0</v>
      </c>
      <c r="R20" s="270">
        <v>1</v>
      </c>
      <c r="S20" s="182">
        <v>0</v>
      </c>
      <c r="T20" s="270">
        <v>0</v>
      </c>
      <c r="U20" s="99"/>
      <c r="V20" s="96"/>
      <c r="W20" s="100"/>
      <c r="X20" s="96"/>
      <c r="Y20" s="100"/>
    </row>
    <row r="21" spans="1:25" s="97" customFormat="1" ht="37.5" customHeight="1">
      <c r="A21" s="101">
        <v>10</v>
      </c>
      <c r="B21" s="102" t="s">
        <v>29</v>
      </c>
      <c r="C21" s="190">
        <f t="shared" si="0"/>
        <v>106</v>
      </c>
      <c r="D21" s="183">
        <f t="shared" si="1"/>
        <v>86</v>
      </c>
      <c r="E21" s="191">
        <f t="shared" si="2"/>
        <v>98</v>
      </c>
      <c r="F21" s="181">
        <f t="shared" si="3"/>
        <v>73</v>
      </c>
      <c r="G21" s="299">
        <f>8+4+22+14</f>
        <v>48</v>
      </c>
      <c r="H21" s="181">
        <v>54</v>
      </c>
      <c r="I21" s="183">
        <f>36+8+3+3</f>
        <v>50</v>
      </c>
      <c r="J21" s="182">
        <v>19</v>
      </c>
      <c r="K21" s="182">
        <v>0</v>
      </c>
      <c r="L21" s="183">
        <v>0</v>
      </c>
      <c r="M21" s="191">
        <f t="shared" si="4"/>
        <v>8</v>
      </c>
      <c r="N21" s="181">
        <f t="shared" si="5"/>
        <v>13</v>
      </c>
      <c r="O21" s="182">
        <f>1+6+1</f>
        <v>8</v>
      </c>
      <c r="P21" s="270">
        <f>10+2</f>
        <v>12</v>
      </c>
      <c r="Q21" s="182">
        <v>0</v>
      </c>
      <c r="R21" s="270">
        <v>1</v>
      </c>
      <c r="S21" s="182">
        <v>0</v>
      </c>
      <c r="T21" s="270">
        <v>0</v>
      </c>
      <c r="U21" s="99"/>
      <c r="V21" s="96"/>
      <c r="W21" s="100"/>
      <c r="X21" s="96"/>
      <c r="Y21" s="100"/>
    </row>
    <row r="22" spans="1:25" s="97" customFormat="1" ht="37.5" customHeight="1">
      <c r="A22" s="101">
        <v>11</v>
      </c>
      <c r="B22" s="102" t="s">
        <v>30</v>
      </c>
      <c r="C22" s="190">
        <f t="shared" si="0"/>
        <v>178</v>
      </c>
      <c r="D22" s="183">
        <f t="shared" si="1"/>
        <v>136</v>
      </c>
      <c r="E22" s="191">
        <f t="shared" si="2"/>
        <v>175</v>
      </c>
      <c r="F22" s="181">
        <f t="shared" si="3"/>
        <v>130</v>
      </c>
      <c r="G22" s="299">
        <f>16+31+14+16</f>
        <v>77</v>
      </c>
      <c r="H22" s="181">
        <v>69</v>
      </c>
      <c r="I22" s="183">
        <f>37+29+12+20</f>
        <v>98</v>
      </c>
      <c r="J22" s="182">
        <v>58</v>
      </c>
      <c r="K22" s="182">
        <v>0</v>
      </c>
      <c r="L22" s="183">
        <v>3</v>
      </c>
      <c r="M22" s="191">
        <f t="shared" si="4"/>
        <v>3</v>
      </c>
      <c r="N22" s="181">
        <f t="shared" si="5"/>
        <v>6</v>
      </c>
      <c r="O22" s="182">
        <f>2+1</f>
        <v>3</v>
      </c>
      <c r="P22" s="270">
        <v>4</v>
      </c>
      <c r="Q22" s="182">
        <v>0</v>
      </c>
      <c r="R22" s="270">
        <v>2</v>
      </c>
      <c r="S22" s="182">
        <v>0</v>
      </c>
      <c r="T22" s="270">
        <v>0</v>
      </c>
      <c r="U22" s="99"/>
      <c r="V22" s="96"/>
      <c r="W22" s="100"/>
      <c r="X22" s="96"/>
      <c r="Y22" s="100"/>
    </row>
    <row r="23" spans="1:25" s="97" customFormat="1" ht="37.5" customHeight="1">
      <c r="A23" s="101">
        <v>12</v>
      </c>
      <c r="B23" s="102" t="s">
        <v>31</v>
      </c>
      <c r="C23" s="190">
        <f t="shared" si="0"/>
        <v>86</v>
      </c>
      <c r="D23" s="183">
        <f t="shared" si="1"/>
        <v>97</v>
      </c>
      <c r="E23" s="191">
        <f t="shared" si="2"/>
        <v>84</v>
      </c>
      <c r="F23" s="181">
        <f t="shared" si="3"/>
        <v>91</v>
      </c>
      <c r="G23" s="299">
        <f>10+20+6+16</f>
        <v>52</v>
      </c>
      <c r="H23" s="181">
        <v>67</v>
      </c>
      <c r="I23" s="183">
        <f>13+11+5+3</f>
        <v>32</v>
      </c>
      <c r="J23" s="182">
        <v>22</v>
      </c>
      <c r="K23" s="182">
        <v>0</v>
      </c>
      <c r="L23" s="183">
        <v>2</v>
      </c>
      <c r="M23" s="191">
        <f t="shared" si="4"/>
        <v>2</v>
      </c>
      <c r="N23" s="181">
        <f t="shared" si="5"/>
        <v>6</v>
      </c>
      <c r="O23" s="182">
        <v>2</v>
      </c>
      <c r="P23" s="270">
        <v>5</v>
      </c>
      <c r="Q23" s="182">
        <v>0</v>
      </c>
      <c r="R23" s="270">
        <v>1</v>
      </c>
      <c r="S23" s="182">
        <v>0</v>
      </c>
      <c r="T23" s="270">
        <v>0</v>
      </c>
      <c r="U23" s="99"/>
      <c r="V23" s="96"/>
      <c r="W23" s="100"/>
      <c r="X23" s="96"/>
      <c r="Y23" s="100"/>
    </row>
    <row r="24" spans="1:25" s="97" customFormat="1" ht="37.5" customHeight="1">
      <c r="A24" s="101">
        <v>13</v>
      </c>
      <c r="B24" s="102" t="s">
        <v>32</v>
      </c>
      <c r="C24" s="190">
        <f t="shared" si="0"/>
        <v>60</v>
      </c>
      <c r="D24" s="183">
        <f t="shared" si="1"/>
        <v>39</v>
      </c>
      <c r="E24" s="191">
        <f t="shared" si="2"/>
        <v>55</v>
      </c>
      <c r="F24" s="181">
        <f t="shared" si="3"/>
        <v>34</v>
      </c>
      <c r="G24" s="299">
        <f>15+3+1+5</f>
        <v>24</v>
      </c>
      <c r="H24" s="181">
        <v>30</v>
      </c>
      <c r="I24" s="183">
        <f>21+3+1+4</f>
        <v>29</v>
      </c>
      <c r="J24" s="182">
        <v>4</v>
      </c>
      <c r="K24" s="182">
        <v>2</v>
      </c>
      <c r="L24" s="183">
        <v>0</v>
      </c>
      <c r="M24" s="191">
        <f t="shared" si="4"/>
        <v>5</v>
      </c>
      <c r="N24" s="181">
        <f t="shared" si="5"/>
        <v>5</v>
      </c>
      <c r="O24" s="182">
        <v>5</v>
      </c>
      <c r="P24" s="270">
        <v>2</v>
      </c>
      <c r="Q24" s="182">
        <v>0</v>
      </c>
      <c r="R24" s="270">
        <v>3</v>
      </c>
      <c r="S24" s="182">
        <v>0</v>
      </c>
      <c r="T24" s="270">
        <v>0</v>
      </c>
      <c r="U24" s="99"/>
      <c r="V24" s="96"/>
      <c r="W24" s="100"/>
      <c r="X24" s="96"/>
      <c r="Y24" s="100"/>
    </row>
    <row r="25" spans="1:25" s="97" customFormat="1" ht="37.5" customHeight="1">
      <c r="A25" s="101">
        <v>14</v>
      </c>
      <c r="B25" s="102" t="s">
        <v>33</v>
      </c>
      <c r="C25" s="190">
        <f t="shared" si="0"/>
        <v>306</v>
      </c>
      <c r="D25" s="183">
        <f t="shared" si="1"/>
        <v>310</v>
      </c>
      <c r="E25" s="191">
        <f t="shared" si="2"/>
        <v>264</v>
      </c>
      <c r="F25" s="181">
        <f t="shared" si="3"/>
        <v>284</v>
      </c>
      <c r="G25" s="299">
        <f>41+34+43+37</f>
        <v>155</v>
      </c>
      <c r="H25" s="181">
        <v>188</v>
      </c>
      <c r="I25" s="183">
        <f>32+20+24+24</f>
        <v>100</v>
      </c>
      <c r="J25" s="182">
        <v>94</v>
      </c>
      <c r="K25" s="182">
        <f>1+7+1</f>
        <v>9</v>
      </c>
      <c r="L25" s="183">
        <v>2</v>
      </c>
      <c r="M25" s="191">
        <f t="shared" si="4"/>
        <v>42</v>
      </c>
      <c r="N25" s="181">
        <f t="shared" si="5"/>
        <v>26</v>
      </c>
      <c r="O25" s="182">
        <f>10+9+8+6</f>
        <v>33</v>
      </c>
      <c r="P25" s="270">
        <v>22</v>
      </c>
      <c r="Q25" s="182">
        <v>2</v>
      </c>
      <c r="R25" s="270">
        <v>1</v>
      </c>
      <c r="S25" s="182">
        <f>5+2</f>
        <v>7</v>
      </c>
      <c r="T25" s="270">
        <v>3</v>
      </c>
      <c r="U25" s="99"/>
      <c r="V25" s="96"/>
      <c r="W25" s="100"/>
      <c r="X25" s="96"/>
      <c r="Y25" s="100"/>
    </row>
    <row r="26" spans="1:25" s="97" customFormat="1" ht="37.5" customHeight="1" thickBot="1">
      <c r="A26" s="101">
        <v>15</v>
      </c>
      <c r="B26" s="102" t="s">
        <v>34</v>
      </c>
      <c r="C26" s="193">
        <f t="shared" si="0"/>
        <v>5</v>
      </c>
      <c r="D26" s="243">
        <f t="shared" si="1"/>
        <v>8</v>
      </c>
      <c r="E26" s="192">
        <f t="shared" si="2"/>
        <v>0</v>
      </c>
      <c r="F26" s="184">
        <f t="shared" si="3"/>
        <v>1</v>
      </c>
      <c r="G26" s="300">
        <v>0</v>
      </c>
      <c r="H26" s="184">
        <v>0</v>
      </c>
      <c r="I26" s="297">
        <v>0</v>
      </c>
      <c r="J26" s="242">
        <v>0</v>
      </c>
      <c r="K26" s="296">
        <v>0</v>
      </c>
      <c r="L26" s="243">
        <v>1</v>
      </c>
      <c r="M26" s="272">
        <f t="shared" si="4"/>
        <v>5</v>
      </c>
      <c r="N26" s="295">
        <f t="shared" si="5"/>
        <v>7</v>
      </c>
      <c r="O26" s="296">
        <f>2+1+1</f>
        <v>4</v>
      </c>
      <c r="P26" s="271">
        <v>2</v>
      </c>
      <c r="Q26" s="296">
        <v>0</v>
      </c>
      <c r="R26" s="271">
        <v>0</v>
      </c>
      <c r="S26" s="296">
        <v>1</v>
      </c>
      <c r="T26" s="271">
        <v>5</v>
      </c>
      <c r="U26" s="99"/>
      <c r="V26" s="96"/>
      <c r="W26" s="100"/>
      <c r="X26" s="96"/>
      <c r="Y26" s="100"/>
    </row>
    <row r="27" spans="1:25" s="97" customFormat="1" ht="37.5" customHeight="1" thickBot="1">
      <c r="A27" s="103"/>
      <c r="B27" s="104" t="s">
        <v>10</v>
      </c>
      <c r="C27" s="185">
        <f t="shared" si="0"/>
        <v>1393</v>
      </c>
      <c r="D27" s="187">
        <f>SUM(D12:D26)</f>
        <v>1372</v>
      </c>
      <c r="E27" s="244">
        <f t="shared" si="2"/>
        <v>1263</v>
      </c>
      <c r="F27" s="186">
        <f t="shared" si="3"/>
        <v>1279</v>
      </c>
      <c r="G27" s="185">
        <f aca="true" t="shared" si="6" ref="G27:L27">SUM(G12:G26)</f>
        <v>658</v>
      </c>
      <c r="H27" s="188">
        <f>SUM(H12:H26)</f>
        <v>872</v>
      </c>
      <c r="I27" s="185">
        <f t="shared" si="6"/>
        <v>574</v>
      </c>
      <c r="J27" s="188">
        <f>SUM(J12:J26)</f>
        <v>390</v>
      </c>
      <c r="K27" s="185">
        <f t="shared" si="6"/>
        <v>31</v>
      </c>
      <c r="L27" s="188">
        <f t="shared" si="6"/>
        <v>17</v>
      </c>
      <c r="M27" s="244">
        <f t="shared" si="4"/>
        <v>130</v>
      </c>
      <c r="N27" s="186">
        <f t="shared" si="5"/>
        <v>93</v>
      </c>
      <c r="O27" s="185">
        <f>SUM(O12:O26)</f>
        <v>116</v>
      </c>
      <c r="P27" s="185">
        <f>SUM(P12:P26)</f>
        <v>71</v>
      </c>
      <c r="Q27" s="185">
        <f>SUM(Q12:Q25)</f>
        <v>5</v>
      </c>
      <c r="R27" s="185">
        <f>SUM(R12:R25)</f>
        <v>14</v>
      </c>
      <c r="S27" s="185">
        <f>SUM(S12:S26)</f>
        <v>9</v>
      </c>
      <c r="T27" s="185">
        <f>SUM(T12:T26)</f>
        <v>8</v>
      </c>
      <c r="U27" s="99"/>
      <c r="V27" s="100"/>
      <c r="W27" s="100"/>
      <c r="X27" s="105"/>
      <c r="Y27" s="100"/>
    </row>
    <row r="28" ht="29.25" customHeight="1"/>
    <row r="29" spans="2:20" ht="26.25"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</row>
  </sheetData>
  <sheetProtection/>
  <mergeCells count="20">
    <mergeCell ref="B29:T29"/>
    <mergeCell ref="A3:T3"/>
    <mergeCell ref="A4:T4"/>
    <mergeCell ref="M5:T5"/>
    <mergeCell ref="A6:A10"/>
    <mergeCell ref="B6:B10"/>
    <mergeCell ref="C6:D9"/>
    <mergeCell ref="E6:T6"/>
    <mergeCell ref="E7:L7"/>
    <mergeCell ref="M7:T7"/>
    <mergeCell ref="E8:F9"/>
    <mergeCell ref="G8:L8"/>
    <mergeCell ref="M8:N9"/>
    <mergeCell ref="O8:T8"/>
    <mergeCell ref="G9:H9"/>
    <mergeCell ref="I9:J9"/>
    <mergeCell ref="K9:L9"/>
    <mergeCell ref="O9:P9"/>
    <mergeCell ref="Q9:R9"/>
    <mergeCell ref="S9:T9"/>
  </mergeCells>
  <printOptions/>
  <pageMargins left="0.39" right="0" top="0" bottom="0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Normal="70" zoomScaleSheetLayoutView="100" zoomScalePageLayoutView="0" workbookViewId="0" topLeftCell="A1">
      <selection activeCell="K14" sqref="K14"/>
    </sheetView>
  </sheetViews>
  <sheetFormatPr defaultColWidth="8.8515625" defaultRowHeight="12.75"/>
  <cols>
    <col min="1" max="1" width="9.7109375" style="37" customWidth="1"/>
    <col min="2" max="2" width="11.28125" style="37" customWidth="1"/>
    <col min="3" max="3" width="10.140625" style="37" customWidth="1"/>
    <col min="4" max="4" width="11.7109375" style="37" customWidth="1"/>
    <col min="5" max="5" width="8.7109375" style="37" customWidth="1"/>
    <col min="6" max="6" width="11.7109375" style="37" customWidth="1"/>
    <col min="7" max="7" width="9.140625" style="37" customWidth="1"/>
    <col min="8" max="8" width="8.7109375" style="37" customWidth="1"/>
    <col min="9" max="9" width="9.7109375" style="37" customWidth="1"/>
    <col min="10" max="10" width="11.28125" style="37" customWidth="1"/>
    <col min="11" max="11" width="12.57421875" style="37" customWidth="1"/>
    <col min="12" max="12" width="11.7109375" style="37" customWidth="1"/>
    <col min="13" max="13" width="13.7109375" style="37" customWidth="1"/>
    <col min="14" max="14" width="11.7109375" style="37" customWidth="1"/>
    <col min="15" max="15" width="8.7109375" style="37" customWidth="1"/>
    <col min="16" max="16" width="9.00390625" style="37" customWidth="1"/>
    <col min="17" max="16384" width="8.8515625" style="37" customWidth="1"/>
  </cols>
  <sheetData>
    <row r="1" spans="13:16" ht="16.5">
      <c r="M1" s="485"/>
      <c r="N1" s="485"/>
      <c r="O1" s="487"/>
      <c r="P1" s="487"/>
    </row>
    <row r="2" spans="13:16" ht="16.5">
      <c r="M2" s="486"/>
      <c r="N2" s="486"/>
      <c r="O2" s="488" t="s">
        <v>73</v>
      </c>
      <c r="P2" s="488"/>
    </row>
    <row r="3" spans="1:19" ht="15.75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</row>
    <row r="4" spans="1:19" ht="18" customHeight="1">
      <c r="A4" s="499" t="s">
        <v>118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36"/>
      <c r="Q4" s="36"/>
      <c r="R4" s="36"/>
      <c r="S4" s="36"/>
    </row>
    <row r="5" spans="1:19" ht="15" customHeight="1">
      <c r="A5" s="491" t="s">
        <v>48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36"/>
      <c r="Q5" s="36"/>
      <c r="R5" s="36"/>
      <c r="S5" s="36"/>
    </row>
    <row r="6" spans="1:19" ht="15" customHeight="1">
      <c r="A6" s="73"/>
      <c r="B6" s="73"/>
      <c r="C6" s="73"/>
      <c r="D6" s="73"/>
      <c r="E6" s="494"/>
      <c r="F6" s="494"/>
      <c r="G6" s="494"/>
      <c r="H6" s="494"/>
      <c r="I6" s="494"/>
      <c r="J6" s="494"/>
      <c r="K6" s="73"/>
      <c r="L6" s="73"/>
      <c r="M6" s="73"/>
      <c r="N6" s="73"/>
      <c r="O6" s="73"/>
      <c r="P6" s="36"/>
      <c r="Q6" s="36"/>
      <c r="R6" s="36"/>
      <c r="S6" s="36"/>
    </row>
    <row r="7" spans="1:15" ht="11.25" customHeight="1" thickBot="1">
      <c r="A7" s="38"/>
      <c r="B7" s="38"/>
      <c r="C7" s="38"/>
      <c r="D7" s="38"/>
      <c r="E7" s="38"/>
      <c r="F7" s="493"/>
      <c r="G7" s="493"/>
      <c r="H7" s="115"/>
      <c r="I7" s="38"/>
      <c r="J7" s="38"/>
      <c r="K7" s="38"/>
      <c r="L7" s="38"/>
      <c r="M7" s="497"/>
      <c r="N7" s="497"/>
      <c r="O7" s="497"/>
    </row>
    <row r="8" spans="1:16" ht="19.5" customHeight="1" thickBot="1">
      <c r="A8" s="495" t="s">
        <v>63</v>
      </c>
      <c r="B8" s="496"/>
      <c r="C8" s="496"/>
      <c r="D8" s="496"/>
      <c r="E8" s="496"/>
      <c r="F8" s="496"/>
      <c r="G8" s="496"/>
      <c r="H8" s="489" t="s">
        <v>68</v>
      </c>
      <c r="I8" s="495" t="s">
        <v>64</v>
      </c>
      <c r="J8" s="496"/>
      <c r="K8" s="496"/>
      <c r="L8" s="496"/>
      <c r="M8" s="496"/>
      <c r="N8" s="496"/>
      <c r="O8" s="496"/>
      <c r="P8" s="489" t="s">
        <v>68</v>
      </c>
    </row>
    <row r="9" spans="1:16" ht="84" customHeight="1" thickBot="1">
      <c r="A9" s="56" t="s">
        <v>10</v>
      </c>
      <c r="B9" s="57" t="s">
        <v>42</v>
      </c>
      <c r="C9" s="58" t="s">
        <v>43</v>
      </c>
      <c r="D9" s="58" t="s">
        <v>44</v>
      </c>
      <c r="E9" s="59" t="s">
        <v>45</v>
      </c>
      <c r="F9" s="58" t="s">
        <v>46</v>
      </c>
      <c r="G9" s="61" t="s">
        <v>47</v>
      </c>
      <c r="H9" s="490"/>
      <c r="I9" s="60" t="s">
        <v>10</v>
      </c>
      <c r="J9" s="57" t="s">
        <v>42</v>
      </c>
      <c r="K9" s="58" t="s">
        <v>43</v>
      </c>
      <c r="L9" s="58" t="s">
        <v>44</v>
      </c>
      <c r="M9" s="59" t="s">
        <v>45</v>
      </c>
      <c r="N9" s="58" t="s">
        <v>46</v>
      </c>
      <c r="O9" s="61" t="s">
        <v>47</v>
      </c>
      <c r="P9" s="490"/>
    </row>
    <row r="10" spans="1:16" ht="19.5" customHeight="1" thickBot="1">
      <c r="A10" s="62">
        <v>1</v>
      </c>
      <c r="B10" s="63">
        <v>2</v>
      </c>
      <c r="C10" s="64">
        <v>3</v>
      </c>
      <c r="D10" s="64">
        <v>4</v>
      </c>
      <c r="E10" s="65">
        <v>5</v>
      </c>
      <c r="F10" s="64">
        <v>6</v>
      </c>
      <c r="G10" s="66">
        <v>7</v>
      </c>
      <c r="H10" s="116">
        <v>8</v>
      </c>
      <c r="I10" s="67">
        <v>9</v>
      </c>
      <c r="J10" s="67">
        <v>10</v>
      </c>
      <c r="K10" s="65">
        <v>11</v>
      </c>
      <c r="L10" s="64">
        <v>12</v>
      </c>
      <c r="M10" s="64">
        <v>13</v>
      </c>
      <c r="N10" s="64">
        <v>14</v>
      </c>
      <c r="O10" s="64">
        <v>15</v>
      </c>
      <c r="P10" s="68">
        <v>16</v>
      </c>
    </row>
    <row r="11" spans="1:16" ht="19.5" customHeight="1" thickBot="1">
      <c r="A11" s="39">
        <f>SUM(B11:G11)</f>
        <v>68</v>
      </c>
      <c r="B11" s="39">
        <f>20+17+14+1</f>
        <v>52</v>
      </c>
      <c r="C11" s="39">
        <f>6+3+5+2</f>
        <v>16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f>SUM(J11:O11)</f>
        <v>4376</v>
      </c>
      <c r="J11" s="69">
        <f>1417+611+577+429</f>
        <v>3034</v>
      </c>
      <c r="K11" s="70">
        <f>486+221+242+103</f>
        <v>1052</v>
      </c>
      <c r="L11" s="70">
        <v>3</v>
      </c>
      <c r="M11" s="71">
        <v>0</v>
      </c>
      <c r="N11" s="70">
        <v>7</v>
      </c>
      <c r="O11" s="72">
        <v>280</v>
      </c>
      <c r="P11" s="118">
        <v>0</v>
      </c>
    </row>
    <row r="14" ht="26.25" customHeight="1"/>
    <row r="15" spans="2:14" ht="19.5" customHeight="1"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</row>
  </sheetData>
  <sheetProtection/>
  <mergeCells count="15">
    <mergeCell ref="I8:O8"/>
    <mergeCell ref="M7:O7"/>
    <mergeCell ref="B15:N15"/>
    <mergeCell ref="A4:O4"/>
    <mergeCell ref="H8:H9"/>
    <mergeCell ref="M1:N1"/>
    <mergeCell ref="M2:N2"/>
    <mergeCell ref="O1:P1"/>
    <mergeCell ref="O2:P2"/>
    <mergeCell ref="P8:P9"/>
    <mergeCell ref="A5:O5"/>
    <mergeCell ref="A3:S3"/>
    <mergeCell ref="F7:G7"/>
    <mergeCell ref="E6:J6"/>
    <mergeCell ref="A8:G8"/>
  </mergeCells>
  <printOptions/>
  <pageMargins left="0.26" right="0.3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65"/>
  <sheetViews>
    <sheetView view="pageBreakPreview" zoomScale="60" zoomScaleNormal="55" zoomScalePageLayoutView="0" workbookViewId="0" topLeftCell="A1">
      <selection activeCell="K19" sqref="K19"/>
    </sheetView>
  </sheetViews>
  <sheetFormatPr defaultColWidth="9.140625" defaultRowHeight="12.75"/>
  <cols>
    <col min="1" max="1" width="6.00390625" style="1" customWidth="1"/>
    <col min="2" max="15" width="16.28125" style="1" customWidth="1"/>
    <col min="16" max="16384" width="9.140625" style="1" customWidth="1"/>
  </cols>
  <sheetData>
    <row r="1" ht="27">
      <c r="O1" s="75"/>
    </row>
    <row r="2" spans="4:15" ht="30.75">
      <c r="D2" s="76"/>
      <c r="E2" s="76"/>
      <c r="F2" s="76"/>
      <c r="G2" s="76"/>
      <c r="H2" s="76"/>
      <c r="I2" s="76"/>
      <c r="O2" s="77" t="s">
        <v>81</v>
      </c>
    </row>
    <row r="3" spans="2:15" ht="64.5" customHeight="1">
      <c r="B3" s="378" t="s">
        <v>119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27">
      <c r="B4" s="377" t="s">
        <v>92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</row>
    <row r="5" spans="2:15" ht="27.75" customHeight="1">
      <c r="B5" s="377" t="s">
        <v>90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</row>
    <row r="6" spans="2:15" ht="21" thickBo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15" ht="41.25" customHeight="1" thickBot="1">
      <c r="B7" s="500" t="s">
        <v>74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6"/>
    </row>
    <row r="8" spans="2:15" ht="42" customHeight="1" thickBot="1">
      <c r="B8" s="374" t="s">
        <v>75</v>
      </c>
      <c r="C8" s="375"/>
      <c r="D8" s="375"/>
      <c r="E8" s="375"/>
      <c r="F8" s="375"/>
      <c r="G8" s="375"/>
      <c r="H8" s="375"/>
      <c r="I8" s="376"/>
      <c r="J8" s="379" t="s">
        <v>76</v>
      </c>
      <c r="K8" s="384"/>
      <c r="L8" s="379" t="s">
        <v>77</v>
      </c>
      <c r="M8" s="384"/>
      <c r="N8" s="379" t="s">
        <v>10</v>
      </c>
      <c r="O8" s="384"/>
    </row>
    <row r="9" spans="2:15" ht="78" customHeight="1" thickBot="1">
      <c r="B9" s="379" t="s">
        <v>78</v>
      </c>
      <c r="C9" s="384"/>
      <c r="D9" s="379" t="s">
        <v>79</v>
      </c>
      <c r="E9" s="384"/>
      <c r="F9" s="379" t="s">
        <v>80</v>
      </c>
      <c r="G9" s="384"/>
      <c r="H9" s="379" t="s">
        <v>13</v>
      </c>
      <c r="I9" s="384"/>
      <c r="J9" s="501"/>
      <c r="K9" s="371"/>
      <c r="L9" s="501"/>
      <c r="M9" s="371"/>
      <c r="N9" s="501"/>
      <c r="O9" s="371"/>
    </row>
    <row r="10" spans="2:15" ht="43.5" customHeight="1" thickBot="1">
      <c r="B10" s="194" t="s">
        <v>110</v>
      </c>
      <c r="C10" s="80" t="s">
        <v>112</v>
      </c>
      <c r="D10" s="194" t="s">
        <v>110</v>
      </c>
      <c r="E10" s="80" t="s">
        <v>112</v>
      </c>
      <c r="F10" s="194" t="s">
        <v>110</v>
      </c>
      <c r="G10" s="80" t="s">
        <v>112</v>
      </c>
      <c r="H10" s="194" t="s">
        <v>110</v>
      </c>
      <c r="I10" s="80" t="s">
        <v>112</v>
      </c>
      <c r="J10" s="194" t="s">
        <v>110</v>
      </c>
      <c r="K10" s="80" t="s">
        <v>112</v>
      </c>
      <c r="L10" s="194" t="s">
        <v>110</v>
      </c>
      <c r="M10" s="80" t="s">
        <v>112</v>
      </c>
      <c r="N10" s="194" t="s">
        <v>110</v>
      </c>
      <c r="O10" s="80" t="s">
        <v>112</v>
      </c>
    </row>
    <row r="11" spans="2:15" ht="43.5" customHeight="1" thickBot="1">
      <c r="B11" s="195">
        <v>1</v>
      </c>
      <c r="C11" s="48">
        <v>2</v>
      </c>
      <c r="D11" s="197">
        <v>3</v>
      </c>
      <c r="E11" s="196">
        <v>4</v>
      </c>
      <c r="F11" s="195">
        <v>5</v>
      </c>
      <c r="G11" s="48">
        <v>6</v>
      </c>
      <c r="H11" s="197">
        <v>7</v>
      </c>
      <c r="I11" s="196">
        <v>8</v>
      </c>
      <c r="J11" s="195">
        <v>9</v>
      </c>
      <c r="K11" s="48">
        <v>10</v>
      </c>
      <c r="L11" s="197">
        <v>11</v>
      </c>
      <c r="M11" s="196">
        <v>12</v>
      </c>
      <c r="N11" s="195">
        <v>13</v>
      </c>
      <c r="O11" s="48">
        <v>14</v>
      </c>
    </row>
    <row r="12" spans="2:15" ht="54.75" customHeight="1" thickBot="1">
      <c r="B12" s="218" t="s">
        <v>91</v>
      </c>
      <c r="C12" s="219" t="s">
        <v>91</v>
      </c>
      <c r="D12" s="220" t="s">
        <v>91</v>
      </c>
      <c r="E12" s="221" t="s">
        <v>91</v>
      </c>
      <c r="F12" s="218" t="s">
        <v>91</v>
      </c>
      <c r="G12" s="219" t="s">
        <v>91</v>
      </c>
      <c r="H12" s="218" t="s">
        <v>91</v>
      </c>
      <c r="I12" s="219" t="s">
        <v>91</v>
      </c>
      <c r="J12" s="218" t="s">
        <v>91</v>
      </c>
      <c r="K12" s="219" t="s">
        <v>91</v>
      </c>
      <c r="L12" s="218" t="s">
        <v>91</v>
      </c>
      <c r="M12" s="219" t="s">
        <v>91</v>
      </c>
      <c r="N12" s="218" t="s">
        <v>91</v>
      </c>
      <c r="O12" s="219" t="s">
        <v>91</v>
      </c>
    </row>
    <row r="13" spans="2:15" ht="20.25">
      <c r="B13" s="81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2:15" ht="42" customHeight="1">
      <c r="B14" s="84"/>
      <c r="C14" s="84"/>
      <c r="D14" s="85"/>
      <c r="E14" s="85"/>
      <c r="F14" s="85"/>
      <c r="G14" s="85"/>
      <c r="H14" s="85"/>
      <c r="I14" s="85"/>
      <c r="J14" s="82"/>
      <c r="K14" s="82"/>
      <c r="L14" s="82"/>
      <c r="M14" s="82"/>
      <c r="N14" s="82"/>
      <c r="O14" s="82"/>
    </row>
    <row r="15" spans="2:15" ht="22.5" customHeight="1"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82"/>
    </row>
    <row r="16" spans="2:15" ht="40.5" customHeight="1">
      <c r="B16" s="81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ht="20.25">
      <c r="B17" s="81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2:15" ht="78" customHeight="1">
      <c r="B18" s="81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2:15" ht="20.25">
      <c r="B19" s="81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2:15" ht="27.75">
      <c r="B20" s="81"/>
      <c r="C20" s="81"/>
      <c r="D20" s="8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27.75">
      <c r="B21" s="81"/>
      <c r="C21" s="81"/>
      <c r="D21" s="8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27.75">
      <c r="B22" s="81"/>
      <c r="C22" s="81"/>
      <c r="D22" s="8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26.25">
      <c r="B23" s="81"/>
      <c r="C23" s="81"/>
      <c r="D23" s="83"/>
      <c r="E23" s="11"/>
      <c r="F23" s="11"/>
      <c r="G23" s="11"/>
      <c r="H23" s="11"/>
      <c r="I23" s="11"/>
      <c r="J23" s="10"/>
      <c r="K23" s="10"/>
      <c r="L23" s="10"/>
      <c r="M23" s="10"/>
      <c r="N23" s="10"/>
      <c r="O23" s="10"/>
    </row>
    <row r="24" spans="2:15" ht="27.75">
      <c r="B24" s="81"/>
      <c r="C24" s="81"/>
      <c r="D24" s="8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27.75">
      <c r="B25" s="81"/>
      <c r="C25" s="81"/>
      <c r="D25" s="8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27.75">
      <c r="B26" s="81"/>
      <c r="C26" s="81"/>
      <c r="D26" s="8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27.75">
      <c r="B27" s="81"/>
      <c r="C27" s="81"/>
      <c r="D27" s="8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ht="27.75">
      <c r="B28" s="81"/>
      <c r="C28" s="81"/>
      <c r="D28" s="8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ht="27.75">
      <c r="B29" s="81"/>
      <c r="C29" s="81"/>
      <c r="D29" s="81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 ht="2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 ht="2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 ht="2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 ht="2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 ht="2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 ht="2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 ht="2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 ht="2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 ht="2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ht="2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 ht="2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 ht="2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 ht="2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 ht="2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 ht="2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 ht="2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 ht="2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 ht="2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 ht="2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 ht="2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 ht="2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 ht="2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 ht="2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 ht="2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 ht="2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 ht="2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 ht="2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 ht="2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 ht="2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 ht="2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 ht="2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 ht="2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 ht="2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 ht="2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 ht="2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 ht="2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</sheetData>
  <sheetProtection/>
  <mergeCells count="13">
    <mergeCell ref="B15:N15"/>
    <mergeCell ref="F9:G9"/>
    <mergeCell ref="H9:I9"/>
    <mergeCell ref="B3:O3"/>
    <mergeCell ref="B4:O4"/>
    <mergeCell ref="B5:O5"/>
    <mergeCell ref="B7:O7"/>
    <mergeCell ref="B8:I8"/>
    <mergeCell ref="J8:K9"/>
    <mergeCell ref="L8:M9"/>
    <mergeCell ref="N8:O9"/>
    <mergeCell ref="B9:C9"/>
    <mergeCell ref="D9:E9"/>
  </mergeCells>
  <printOptions/>
  <pageMargins left="0.7086614173228347" right="0.7086614173228347" top="0.35433070866141736" bottom="0.7480314960629921" header="0.2362204724409449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Дилнора Ш. Инагамова</cp:lastModifiedBy>
  <cp:lastPrinted>2022-12-26T04:54:39Z</cp:lastPrinted>
  <dcterms:created xsi:type="dcterms:W3CDTF">1996-10-08T23:32:33Z</dcterms:created>
  <dcterms:modified xsi:type="dcterms:W3CDTF">2022-12-26T11:03:48Z</dcterms:modified>
  <cp:category/>
  <cp:version/>
  <cp:contentType/>
  <cp:contentStatus/>
</cp:coreProperties>
</file>